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ter de Jong\Documents\Rommelmarkt Nieuwland\Financiele overzichten\"/>
    </mc:Choice>
  </mc:AlternateContent>
  <xr:revisionPtr revIDLastSave="0" documentId="8_{2CB267AE-6E3A-4CCC-B2EC-77FADE06F10A}" xr6:coauthVersionLast="47" xr6:coauthVersionMax="47" xr10:uidLastSave="{00000000-0000-0000-0000-000000000000}"/>
  <bookViews>
    <workbookView xWindow="-108" yWindow="-108" windowWidth="23256" windowHeight="12456" xr2:uid="{228C7489-DC67-41CA-814F-6B4500D72710}"/>
  </bookViews>
  <sheets>
    <sheet name="kramen" sheetId="1" r:id="rId1"/>
  </sheets>
  <externalReferences>
    <externalReference r:id="rId2"/>
  </externalReferences>
  <definedNames>
    <definedName name="_xlnm.Print_Area" localSheetId="0">kramen!$A$1:$AK$49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7" i="1"/>
  <c r="B40" i="1" s="1"/>
  <c r="B49" i="1" s="1"/>
  <c r="C7" i="1"/>
  <c r="D7" i="1"/>
  <c r="E7" i="1"/>
  <c r="AK7" i="1" s="1"/>
  <c r="Y7" i="1"/>
  <c r="Z7" i="1"/>
  <c r="AA7" i="1"/>
  <c r="AJ7" i="1"/>
  <c r="B8" i="1"/>
  <c r="C8" i="1"/>
  <c r="D8" i="1"/>
  <c r="E8" i="1"/>
  <c r="AK8" i="1" s="1"/>
  <c r="Y8" i="1"/>
  <c r="Z8" i="1"/>
  <c r="AJ8" i="1"/>
  <c r="B9" i="1"/>
  <c r="C9" i="1"/>
  <c r="D9" i="1"/>
  <c r="E9" i="1"/>
  <c r="AK9" i="1" s="1"/>
  <c r="Y9" i="1"/>
  <c r="Z9" i="1"/>
  <c r="AJ9" i="1"/>
  <c r="B10" i="1"/>
  <c r="C10" i="1"/>
  <c r="D10" i="1"/>
  <c r="E10" i="1"/>
  <c r="AK10" i="1" s="1"/>
  <c r="Y10" i="1"/>
  <c r="Z10" i="1"/>
  <c r="AJ10" i="1"/>
  <c r="B11" i="1"/>
  <c r="C11" i="1"/>
  <c r="D11" i="1"/>
  <c r="E11" i="1"/>
  <c r="AK11" i="1" s="1"/>
  <c r="Y11" i="1"/>
  <c r="Z11" i="1"/>
  <c r="AJ11" i="1"/>
  <c r="B12" i="1"/>
  <c r="C12" i="1"/>
  <c r="D12" i="1"/>
  <c r="E12" i="1"/>
  <c r="AK12" i="1" s="1"/>
  <c r="Y12" i="1"/>
  <c r="Z12" i="1"/>
  <c r="AA12" i="1"/>
  <c r="AJ12" i="1"/>
  <c r="B13" i="1"/>
  <c r="C13" i="1"/>
  <c r="C40" i="1" s="1"/>
  <c r="C49" i="1" s="1"/>
  <c r="D13" i="1"/>
  <c r="D40" i="1" s="1"/>
  <c r="D49" i="1" s="1"/>
  <c r="E13" i="1"/>
  <c r="AK13" i="1" s="1"/>
  <c r="Y13" i="1"/>
  <c r="Z13" i="1"/>
  <c r="AJ13" i="1"/>
  <c r="B14" i="1"/>
  <c r="C14" i="1"/>
  <c r="D14" i="1"/>
  <c r="E14" i="1"/>
  <c r="AK14" i="1" s="1"/>
  <c r="Y14" i="1"/>
  <c r="AJ14" i="1"/>
  <c r="B15" i="1"/>
  <c r="C15" i="1"/>
  <c r="D15" i="1"/>
  <c r="E15" i="1"/>
  <c r="AK15" i="1" s="1"/>
  <c r="Y15" i="1"/>
  <c r="Z15" i="1"/>
  <c r="AJ15" i="1"/>
  <c r="B16" i="1"/>
  <c r="C16" i="1"/>
  <c r="D16" i="1"/>
  <c r="E16" i="1"/>
  <c r="AK16" i="1" s="1"/>
  <c r="AJ16" i="1"/>
  <c r="B17" i="1"/>
  <c r="E17" i="1" s="1"/>
  <c r="AK17" i="1" s="1"/>
  <c r="C17" i="1"/>
  <c r="D17" i="1"/>
  <c r="Y17" i="1"/>
  <c r="Z17" i="1"/>
  <c r="AJ17" i="1"/>
  <c r="B18" i="1"/>
  <c r="C18" i="1"/>
  <c r="E18" i="1" s="1"/>
  <c r="AK18" i="1" s="1"/>
  <c r="D18" i="1"/>
  <c r="Y18" i="1"/>
  <c r="Z18" i="1"/>
  <c r="AJ18" i="1"/>
  <c r="B19" i="1"/>
  <c r="C19" i="1"/>
  <c r="E19" i="1" s="1"/>
  <c r="AK19" i="1" s="1"/>
  <c r="D19" i="1"/>
  <c r="Y19" i="1"/>
  <c r="Z19" i="1"/>
  <c r="AJ19" i="1"/>
  <c r="B20" i="1"/>
  <c r="C20" i="1"/>
  <c r="E20" i="1" s="1"/>
  <c r="D20" i="1"/>
  <c r="L20" i="1"/>
  <c r="L40" i="1" s="1"/>
  <c r="L49" i="1" s="1"/>
  <c r="Y20" i="1"/>
  <c r="Z20" i="1"/>
  <c r="AJ20" i="1"/>
  <c r="B21" i="1"/>
  <c r="C21" i="1"/>
  <c r="D21" i="1"/>
  <c r="E21" i="1"/>
  <c r="AK21" i="1" s="1"/>
  <c r="Y21" i="1"/>
  <c r="Z21" i="1"/>
  <c r="AJ21" i="1"/>
  <c r="B22" i="1"/>
  <c r="C22" i="1"/>
  <c r="D22" i="1"/>
  <c r="E22" i="1"/>
  <c r="AK22" i="1" s="1"/>
  <c r="Y22" i="1"/>
  <c r="Z22" i="1"/>
  <c r="AJ22" i="1"/>
  <c r="B23" i="1"/>
  <c r="C23" i="1"/>
  <c r="D23" i="1"/>
  <c r="E23" i="1"/>
  <c r="AK23" i="1" s="1"/>
  <c r="Y23" i="1"/>
  <c r="Z23" i="1"/>
  <c r="AJ23" i="1"/>
  <c r="B24" i="1"/>
  <c r="C24" i="1"/>
  <c r="D24" i="1"/>
  <c r="E24" i="1"/>
  <c r="AK24" i="1" s="1"/>
  <c r="L24" i="1"/>
  <c r="L41" i="1" s="1"/>
  <c r="X24" i="1"/>
  <c r="Y24" i="1"/>
  <c r="Z24" i="1"/>
  <c r="AA24" i="1"/>
  <c r="AJ24" i="1"/>
  <c r="B25" i="1"/>
  <c r="E25" i="1" s="1"/>
  <c r="AK25" i="1" s="1"/>
  <c r="C25" i="1"/>
  <c r="D25" i="1"/>
  <c r="X25" i="1"/>
  <c r="Y25" i="1" s="1"/>
  <c r="Z25" i="1"/>
  <c r="AA25" i="1"/>
  <c r="AJ25" i="1"/>
  <c r="B26" i="1"/>
  <c r="E26" i="1" s="1"/>
  <c r="AK26" i="1" s="1"/>
  <c r="C26" i="1"/>
  <c r="D26" i="1"/>
  <c r="Y26" i="1"/>
  <c r="Z26" i="1"/>
  <c r="AJ26" i="1"/>
  <c r="B27" i="1"/>
  <c r="C27" i="1"/>
  <c r="E27" i="1" s="1"/>
  <c r="AK27" i="1" s="1"/>
  <c r="D27" i="1"/>
  <c r="AJ27" i="1"/>
  <c r="B28" i="1"/>
  <c r="E28" i="1" s="1"/>
  <c r="AK28" i="1" s="1"/>
  <c r="C28" i="1"/>
  <c r="D28" i="1"/>
  <c r="V28" i="1"/>
  <c r="V40" i="1" s="1"/>
  <c r="W28" i="1"/>
  <c r="Y28" i="1"/>
  <c r="Z28" i="1"/>
  <c r="AJ28" i="1"/>
  <c r="B29" i="1"/>
  <c r="C29" i="1"/>
  <c r="E29" i="1" s="1"/>
  <c r="AK29" i="1" s="1"/>
  <c r="D29" i="1"/>
  <c r="AJ29" i="1"/>
  <c r="B30" i="1"/>
  <c r="E30" i="1" s="1"/>
  <c r="AK30" i="1" s="1"/>
  <c r="C30" i="1"/>
  <c r="D30" i="1"/>
  <c r="Y30" i="1"/>
  <c r="Z30" i="1"/>
  <c r="AA30" i="1"/>
  <c r="AJ30" i="1"/>
  <c r="B31" i="1"/>
  <c r="E31" i="1" s="1"/>
  <c r="C31" i="1"/>
  <c r="D31" i="1"/>
  <c r="B32" i="1"/>
  <c r="C32" i="1"/>
  <c r="D32" i="1"/>
  <c r="E32" i="1"/>
  <c r="AK32" i="1" s="1"/>
  <c r="Y32" i="1"/>
  <c r="Z32" i="1"/>
  <c r="AA32" i="1"/>
  <c r="AJ32" i="1"/>
  <c r="B33" i="1"/>
  <c r="C33" i="1"/>
  <c r="D33" i="1"/>
  <c r="E33" i="1"/>
  <c r="AK33" i="1" s="1"/>
  <c r="L33" i="1"/>
  <c r="Y33" i="1"/>
  <c r="Z33" i="1"/>
  <c r="AJ33" i="1"/>
  <c r="B34" i="1"/>
  <c r="E34" i="1" s="1"/>
  <c r="AK34" i="1" s="1"/>
  <c r="C34" i="1"/>
  <c r="D34" i="1"/>
  <c r="Z34" i="1"/>
  <c r="AJ34" i="1"/>
  <c r="B35" i="1"/>
  <c r="C35" i="1"/>
  <c r="D35" i="1"/>
  <c r="E35" i="1"/>
  <c r="AK35" i="1" s="1"/>
  <c r="AJ35" i="1"/>
  <c r="B36" i="1"/>
  <c r="E36" i="1" s="1"/>
  <c r="D36" i="1"/>
  <c r="L36" i="1"/>
  <c r="AJ36" i="1"/>
  <c r="B37" i="1"/>
  <c r="C37" i="1"/>
  <c r="E37" i="1" s="1"/>
  <c r="AK37" i="1" s="1"/>
  <c r="D37" i="1"/>
  <c r="AJ37" i="1"/>
  <c r="B38" i="1"/>
  <c r="E38" i="1" s="1"/>
  <c r="AK38" i="1" s="1"/>
  <c r="C38" i="1"/>
  <c r="AJ38" i="1"/>
  <c r="C39" i="1"/>
  <c r="D39" i="1"/>
  <c r="E39" i="1"/>
  <c r="AK39" i="1" s="1"/>
  <c r="H39" i="1"/>
  <c r="AJ39" i="1" s="1"/>
  <c r="L39" i="1"/>
  <c r="F40" i="1"/>
  <c r="F49" i="1" s="1"/>
  <c r="S59" i="1" s="1"/>
  <c r="G40" i="1"/>
  <c r="J40" i="1"/>
  <c r="K40" i="1"/>
  <c r="K49" i="1" s="1"/>
  <c r="P40" i="1"/>
  <c r="T40" i="1"/>
  <c r="U40" i="1"/>
  <c r="W40" i="1"/>
  <c r="AB40" i="1"/>
  <c r="AC40" i="1"/>
  <c r="J41" i="1"/>
  <c r="K41" i="1"/>
  <c r="P41" i="1"/>
  <c r="AJ42" i="1"/>
  <c r="AK42" i="1"/>
  <c r="AJ43" i="1"/>
  <c r="AK43" i="1"/>
  <c r="AJ44" i="1"/>
  <c r="AK44" i="1"/>
  <c r="AJ45" i="1"/>
  <c r="AK45" i="1"/>
  <c r="AJ46" i="1"/>
  <c r="AK46" i="1"/>
  <c r="B47" i="1"/>
  <c r="D47" i="1"/>
  <c r="E47" i="1"/>
  <c r="AK47" i="1" s="1"/>
  <c r="X47" i="1"/>
  <c r="AJ47" i="1"/>
  <c r="D48" i="1"/>
  <c r="E48" i="1"/>
  <c r="H48" i="1"/>
  <c r="AJ48" i="1"/>
  <c r="AK48" i="1"/>
  <c r="G49" i="1"/>
  <c r="R59" i="1" s="1"/>
  <c r="J49" i="1"/>
  <c r="Z49" i="1"/>
  <c r="AA49" i="1"/>
  <c r="AB49" i="1"/>
  <c r="AC49" i="1"/>
  <c r="AK20" i="1" l="1"/>
  <c r="I20" i="1"/>
  <c r="I36" i="1"/>
  <c r="AK36" i="1"/>
  <c r="Y40" i="1"/>
  <c r="H41" i="1"/>
  <c r="AJ41" i="1" s="1"/>
  <c r="E41" i="1"/>
  <c r="AK41" i="1" s="1"/>
  <c r="H40" i="1"/>
  <c r="E40" i="1"/>
  <c r="X40" i="1"/>
  <c r="I40" i="1" l="1"/>
  <c r="I49" i="1" s="1"/>
  <c r="AB59" i="1" s="1"/>
  <c r="I41" i="1"/>
  <c r="AK40" i="1"/>
  <c r="E49" i="1"/>
  <c r="H49" i="1"/>
  <c r="AJ40" i="1"/>
  <c r="AK49" i="1" l="1"/>
  <c r="AD59" i="1"/>
  <c r="AJ49" i="1"/>
  <c r="AC59" i="1"/>
  <c r="Q59" i="1"/>
</calcChain>
</file>

<file path=xl/sharedStrings.xml><?xml version="1.0" encoding="utf-8"?>
<sst xmlns="http://schemas.openxmlformats.org/spreadsheetml/2006/main" count="115" uniqueCount="65">
  <si>
    <t xml:space="preserve">Netto  Opbrengst </t>
  </si>
  <si>
    <t>Netto Opbrengst</t>
  </si>
  <si>
    <t>-</t>
  </si>
  <si>
    <t>Overig wisselgeld</t>
  </si>
  <si>
    <t xml:space="preserve"> Algemene kosten</t>
  </si>
  <si>
    <t>Taart (8*16 euro)</t>
  </si>
  <si>
    <t>Fles Jonge Jenever Ben Brouwer</t>
  </si>
  <si>
    <t>Kraakwagen (geschat)</t>
  </si>
  <si>
    <t>Kosten Kraamhuur</t>
  </si>
  <si>
    <t>Netto opbrengst</t>
  </si>
  <si>
    <t>Hapje - drankje vrijwilligers</t>
  </si>
  <si>
    <t>IJzer- papier</t>
  </si>
  <si>
    <t xml:space="preserve"> </t>
  </si>
  <si>
    <t>Wafels</t>
  </si>
  <si>
    <t>Kringloop</t>
  </si>
  <si>
    <t>Speelgoed</t>
  </si>
  <si>
    <t>IJs</t>
  </si>
  <si>
    <t>Goede spullen / Deco</t>
  </si>
  <si>
    <t>Schilderijen</t>
  </si>
  <si>
    <t>Rommelzolder</t>
  </si>
  <si>
    <t xml:space="preserve">Riet </t>
  </si>
  <si>
    <t>Pannen</t>
  </si>
  <si>
    <t>Opbod</t>
  </si>
  <si>
    <t>Meubels</t>
  </si>
  <si>
    <t>Luxe spullen</t>
  </si>
  <si>
    <t>n.v.t.</t>
  </si>
  <si>
    <t>Luchtkussen / Snoep</t>
  </si>
  <si>
    <t>Marktplaats</t>
  </si>
  <si>
    <t>Lampen</t>
  </si>
  <si>
    <t>Koffie</t>
  </si>
  <si>
    <t xml:space="preserve">Koeken </t>
  </si>
  <si>
    <t>Gift</t>
  </si>
  <si>
    <t>Kleding</t>
  </si>
  <si>
    <t>Huishoudelijke artikelen</t>
  </si>
  <si>
    <t>Glas/Servies</t>
  </si>
  <si>
    <t>Gereedschap</t>
  </si>
  <si>
    <t>Fruit (vh oliebollen)</t>
  </si>
  <si>
    <t>Friet</t>
  </si>
  <si>
    <t>Fietsen</t>
  </si>
  <si>
    <t>Electra</t>
  </si>
  <si>
    <t>Curver</t>
  </si>
  <si>
    <t>Boeken</t>
  </si>
  <si>
    <t>Bloempotten</t>
  </si>
  <si>
    <t>Bloemen</t>
  </si>
  <si>
    <t>Beelden/Blikken/ Schilderijen</t>
  </si>
  <si>
    <t>vorig jaar</t>
  </si>
  <si>
    <t>directe kosten</t>
  </si>
  <si>
    <t>opbrengst</t>
  </si>
  <si>
    <t>Index</t>
  </si>
  <si>
    <t>opbrengst t.o.v.</t>
  </si>
  <si>
    <t>wisselgeld &amp;</t>
  </si>
  <si>
    <t>bruto</t>
  </si>
  <si>
    <t>Wisselgeld &amp;</t>
  </si>
  <si>
    <t>Bruto</t>
  </si>
  <si>
    <t>Wisselgeld+</t>
  </si>
  <si>
    <t>Kosten</t>
  </si>
  <si>
    <t>Wisselgeld</t>
  </si>
  <si>
    <t>Netto kraam-</t>
  </si>
  <si>
    <t>Netto kraam</t>
  </si>
  <si>
    <t xml:space="preserve">Netto kraam </t>
  </si>
  <si>
    <t>kosten</t>
  </si>
  <si>
    <t xml:space="preserve">Wisselgeld </t>
  </si>
  <si>
    <t>opbrengst t.o.v</t>
  </si>
  <si>
    <t>Stijging/daling</t>
  </si>
  <si>
    <t>Opbrengst per kraam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</si>
</sst>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-&quot;€&quot;\ * #,##0_-;_-&quot;€&quot;\ * #,##0\-;_-&quot;€&quot;\ * &quot;-&quot;??_-;_-@_-"/>
  </numFmts>
  <fonts count="11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3">
    <xf numFmtId="0" fontId="0" fillId="0" borderId="0" xfId="0"/>
    <xf numFmtId="164" fontId="1" fillId="0" borderId="0" xfId="0" applyNumberFormat="1" applyFont="1"/>
    <xf numFmtId="9" fontId="1" fillId="0" borderId="0" xfId="2" applyFont="1" applyAlignment="1"/>
    <xf numFmtId="165" fontId="1" fillId="0" borderId="0" xfId="1" applyNumberFormat="1" applyFont="1" applyAlignment="1"/>
    <xf numFmtId="164" fontId="3" fillId="0" borderId="0" xfId="0" applyNumberFormat="1" applyFont="1"/>
    <xf numFmtId="9" fontId="1" fillId="0" borderId="0" xfId="2" applyFont="1"/>
    <xf numFmtId="165" fontId="1" fillId="0" borderId="0" xfId="1" applyNumberFormat="1" applyFont="1"/>
    <xf numFmtId="164" fontId="1" fillId="0" borderId="0" xfId="2" applyNumberFormat="1" applyFont="1"/>
    <xf numFmtId="164" fontId="1" fillId="0" borderId="0" xfId="1" applyFont="1"/>
    <xf numFmtId="0" fontId="1" fillId="0" borderId="0" xfId="2" applyNumberFormat="1" applyFont="1"/>
    <xf numFmtId="166" fontId="1" fillId="0" borderId="0" xfId="0" applyNumberFormat="1" applyFont="1"/>
    <xf numFmtId="166" fontId="3" fillId="0" borderId="0" xfId="0" applyNumberFormat="1" applyFont="1"/>
    <xf numFmtId="164" fontId="4" fillId="0" borderId="1" xfId="0" applyNumberFormat="1" applyFont="1" applyBorder="1"/>
    <xf numFmtId="0" fontId="1" fillId="0" borderId="2" xfId="2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0" xfId="0" applyNumberFormat="1" applyFont="1"/>
    <xf numFmtId="9" fontId="4" fillId="0" borderId="0" xfId="2" applyFont="1"/>
    <xf numFmtId="165" fontId="4" fillId="0" borderId="0" xfId="1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4" fillId="0" borderId="0" xfId="1" applyFont="1"/>
    <xf numFmtId="9" fontId="1" fillId="0" borderId="2" xfId="2" applyFont="1" applyBorder="1"/>
    <xf numFmtId="165" fontId="1" fillId="0" borderId="2" xfId="1" applyNumberFormat="1" applyFont="1" applyBorder="1"/>
    <xf numFmtId="164" fontId="3" fillId="0" borderId="0" xfId="1" applyFont="1" applyBorder="1" applyAlignment="1"/>
    <xf numFmtId="164" fontId="3" fillId="0" borderId="3" xfId="1" applyFont="1" applyBorder="1"/>
    <xf numFmtId="164" fontId="3" fillId="0" borderId="4" xfId="1" applyFont="1" applyBorder="1"/>
    <xf numFmtId="164" fontId="4" fillId="0" borderId="0" xfId="1" applyFont="1" applyFill="1" applyBorder="1"/>
    <xf numFmtId="164" fontId="4" fillId="0" borderId="5" xfId="1" applyFont="1" applyFill="1" applyBorder="1"/>
    <xf numFmtId="164" fontId="3" fillId="0" borderId="6" xfId="1" applyFont="1" applyFill="1" applyBorder="1"/>
    <xf numFmtId="164" fontId="3" fillId="0" borderId="7" xfId="1" applyFont="1" applyFill="1" applyBorder="1"/>
    <xf numFmtId="164" fontId="1" fillId="0" borderId="7" xfId="1" applyFont="1" applyFill="1" applyBorder="1"/>
    <xf numFmtId="164" fontId="4" fillId="0" borderId="1" xfId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2" xfId="0" applyNumberFormat="1" applyFont="1" applyBorder="1"/>
    <xf numFmtId="164" fontId="4" fillId="0" borderId="2" xfId="0" applyNumberFormat="1" applyFont="1" applyBorder="1"/>
    <xf numFmtId="164" fontId="2" fillId="0" borderId="2" xfId="3" applyFont="1" applyFill="1" applyBorder="1" applyAlignment="1">
      <alignment horizontal="right"/>
    </xf>
    <xf numFmtId="164" fontId="4" fillId="0" borderId="2" xfId="3" applyFont="1" applyFill="1" applyBorder="1" applyAlignment="1">
      <alignment horizontal="right"/>
    </xf>
    <xf numFmtId="164" fontId="1" fillId="0" borderId="2" xfId="3" applyFont="1" applyFill="1" applyBorder="1" applyAlignment="1">
      <alignment horizontal="right"/>
    </xf>
    <xf numFmtId="164" fontId="1" fillId="0" borderId="11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164" fontId="1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4" fontId="1" fillId="0" borderId="13" xfId="0" applyNumberFormat="1" applyFont="1" applyBorder="1"/>
    <xf numFmtId="164" fontId="1" fillId="0" borderId="14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164" fontId="3" fillId="0" borderId="15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2" xfId="0" applyNumberFormat="1" applyFont="1" applyBorder="1"/>
    <xf numFmtId="164" fontId="2" fillId="0" borderId="14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4" fontId="3" fillId="0" borderId="11" xfId="0" applyNumberFormat="1" applyFont="1" applyBorder="1"/>
    <xf numFmtId="164" fontId="1" fillId="0" borderId="16" xfId="0" applyNumberFormat="1" applyFont="1" applyBorder="1"/>
    <xf numFmtId="164" fontId="1" fillId="0" borderId="0" xfId="1" applyFont="1" applyFill="1" applyBorder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64" fontId="1" fillId="0" borderId="0" xfId="1" applyFont="1" applyFill="1" applyBorder="1" applyAlignment="1"/>
    <xf numFmtId="164" fontId="1" fillId="0" borderId="19" xfId="0" applyNumberFormat="1" applyFont="1" applyBorder="1"/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9" fontId="5" fillId="0" borderId="2" xfId="2" applyFont="1" applyBorder="1"/>
    <xf numFmtId="165" fontId="5" fillId="0" borderId="2" xfId="1" applyNumberFormat="1" applyFont="1" applyBorder="1"/>
    <xf numFmtId="164" fontId="5" fillId="0" borderId="16" xfId="0" applyNumberFormat="1" applyFont="1" applyBorder="1"/>
    <xf numFmtId="164" fontId="5" fillId="0" borderId="10" xfId="0" applyNumberFormat="1" applyFont="1" applyBorder="1"/>
    <xf numFmtId="164" fontId="5" fillId="0" borderId="2" xfId="0" applyNumberFormat="1" applyFont="1" applyBorder="1"/>
    <xf numFmtId="164" fontId="5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23" xfId="0" applyNumberFormat="1" applyFont="1" applyBorder="1"/>
    <xf numFmtId="164" fontId="0" fillId="0" borderId="0" xfId="0" applyNumberFormat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/>
    <xf numFmtId="164" fontId="1" fillId="0" borderId="26" xfId="0" applyNumberFormat="1" applyFont="1" applyBorder="1"/>
    <xf numFmtId="164" fontId="0" fillId="0" borderId="25" xfId="0" applyNumberFormat="1" applyBorder="1" applyAlignment="1">
      <alignment horizontal="center"/>
    </xf>
    <xf numFmtId="164" fontId="1" fillId="0" borderId="27" xfId="0" applyNumberFormat="1" applyFont="1" applyBorder="1"/>
    <xf numFmtId="164" fontId="1" fillId="0" borderId="27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9" fontId="9" fillId="0" borderId="0" xfId="2" applyFont="1" applyAlignment="1">
      <alignment horizontal="center"/>
    </xf>
    <xf numFmtId="165" fontId="9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4">
    <cellStyle name="Euro" xfId="3" xr:uid="{B09426E4-DD62-4A2C-9CBE-9049A8E1683E}"/>
    <cellStyle name="Procent" xfId="2" builtinId="5"/>
    <cellStyle name="Standaard" xfId="0" builtinId="0"/>
    <cellStyle name="Valuta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Netto  Opbrengst  Rommelmarkt Nieuwland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kramen!$A$59</c:f>
              <c:strCache>
                <c:ptCount val="1"/>
                <c:pt idx="0">
                  <c:v> Netto  Opbrengst  </c:v>
                </c:pt>
              </c:strCache>
            </c:strRef>
          </c:tx>
          <c:marker>
            <c:symbol val="none"/>
          </c:marker>
          <c:cat>
            <c:multiLvlStrRef>
              <c:f>kramen!$B$58:$U$59</c:f>
              <c:multiLvlStrCache>
                <c:ptCount val="20"/>
                <c:lvl>
                  <c:pt idx="0">
                    <c:v> € 8.495 </c:v>
                  </c:pt>
                  <c:pt idx="1">
                    <c:v> € 7.537 </c:v>
                  </c:pt>
                  <c:pt idx="2">
                    <c:v> € 9.709 </c:v>
                  </c:pt>
                  <c:pt idx="3">
                    <c:v> € 9.491 </c:v>
                  </c:pt>
                  <c:pt idx="6">
                    <c:v> € 10.001 </c:v>
                  </c:pt>
                  <c:pt idx="7">
                    <c:v> € 10.453 </c:v>
                  </c:pt>
                  <c:pt idx="8">
                    <c:v> € 11.195 </c:v>
                  </c:pt>
                  <c:pt idx="9">
                    <c:v> € 13.030 </c:v>
                  </c:pt>
                  <c:pt idx="10">
                    <c:v> € 12.033 </c:v>
                  </c:pt>
                  <c:pt idx="11">
                    <c:v> € 10.760 </c:v>
                  </c:pt>
                  <c:pt idx="12">
                    <c:v> € 13.549,05 </c:v>
                  </c:pt>
                  <c:pt idx="13">
                    <c:v> € 12.500,55 </c:v>
                  </c:pt>
                  <c:pt idx="14">
                    <c:v> € 10.396,44 </c:v>
                  </c:pt>
                  <c:pt idx="15">
                    <c:v> € 12.979,15 </c:v>
                  </c:pt>
                  <c:pt idx="16">
                    <c:v> € 15.808,70 </c:v>
                  </c:pt>
                  <c:pt idx="17">
                    <c:v> € 17.397,73 </c:v>
                  </c:pt>
                </c:lvl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6">
                    <c:v>2011</c:v>
                  </c:pt>
                  <c:pt idx="7">
                    <c:v>2012</c:v>
                  </c:pt>
                  <c:pt idx="8">
                    <c:v>2013</c:v>
                  </c:pt>
                  <c:pt idx="9">
                    <c:v>2014</c:v>
                  </c:pt>
                  <c:pt idx="10">
                    <c:v>2015</c:v>
                  </c:pt>
                  <c:pt idx="11">
                    <c:v>2016</c:v>
                  </c:pt>
                  <c:pt idx="12">
                    <c:v>2017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2022</c:v>
                  </c:pt>
                  <c:pt idx="16">
                    <c:v>2023</c:v>
                  </c:pt>
                  <c:pt idx="17">
                    <c:v>2024</c:v>
                  </c:pt>
                  <c:pt idx="18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kramen!$B$59:$U$59</c:f>
              <c:numCache>
                <c:formatCode>_-"€"\ * #,##0_-;_-"€"\ * #,##0\-;_-"€"\ * "-"??_-;_-@_-</c:formatCode>
                <c:ptCount val="20"/>
                <c:pt idx="0">
                  <c:v>8494.5400000000009</c:v>
                </c:pt>
                <c:pt idx="1">
                  <c:v>7536.76</c:v>
                </c:pt>
                <c:pt idx="2">
                  <c:v>9709.35</c:v>
                </c:pt>
                <c:pt idx="3">
                  <c:v>9491.2899999999972</c:v>
                </c:pt>
                <c:pt idx="6">
                  <c:v>10001.119999999999</c:v>
                </c:pt>
                <c:pt idx="7">
                  <c:v>10453.48</c:v>
                </c:pt>
                <c:pt idx="8">
                  <c:v>11194.839999999998</c:v>
                </c:pt>
                <c:pt idx="9">
                  <c:v>13030.139999999998</c:v>
                </c:pt>
                <c:pt idx="10">
                  <c:v>12032.830000000004</c:v>
                </c:pt>
                <c:pt idx="11">
                  <c:v>10760.46</c:v>
                </c:pt>
                <c:pt idx="12" formatCode="_-&quot;€&quot;\ * #,##0.00_-;_-&quot;€&quot;\ * #,##0.00\-;_-&quot;€&quot;\ * &quot;-&quot;??_-;_-@_-">
                  <c:v>13549.05</c:v>
                </c:pt>
                <c:pt idx="13" formatCode="_-&quot;€&quot;\ * #,##0.00_-;_-&quot;€&quot;\ * #,##0.00\-;_-&quot;€&quot;\ * &quot;-&quot;??_-;_-@_-">
                  <c:v>12500.55</c:v>
                </c:pt>
                <c:pt idx="14" formatCode="_-&quot;€&quot;\ * #,##0.00_-;_-&quot;€&quot;\ * #,##0.00\-;_-&quot;€&quot;\ * &quot;-&quot;??_-;_-@_-">
                  <c:v>10396.44</c:v>
                </c:pt>
                <c:pt idx="15" formatCode="_-&quot;€&quot;\ * #,##0.00_-;_-&quot;€&quot;\ * #,##0.00\-;_-&quot;€&quot;\ * &quot;-&quot;??_-;_-@_-">
                  <c:v>12979.150000000001</c:v>
                </c:pt>
                <c:pt idx="16" formatCode="_-&quot;€&quot;\ * #,##0.00_-;_-&quot;€&quot;\ * #,##0.00\-;_-&quot;€&quot;\ * &quot;-&quot;??_-;_-@_-">
                  <c:v>15808.699999999999</c:v>
                </c:pt>
                <c:pt idx="17" formatCode="_-&quot;€&quot;\ * #,##0.00_-;_-&quot;€&quot;\ * #,##0.00\-;_-&quot;€&quot;\ * &quot;-&quot;??_-;_-@_-">
                  <c:v>17397.729999999996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6-45F1-AFA1-F00281C6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556672"/>
        <c:axId val="36191552"/>
      </c:lineChart>
      <c:catAx>
        <c:axId val="1745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191552"/>
        <c:crosses val="autoZero"/>
        <c:auto val="1"/>
        <c:lblAlgn val="ctr"/>
        <c:lblOffset val="100"/>
        <c:noMultiLvlLbl val="0"/>
      </c:catAx>
      <c:valAx>
        <c:axId val="36191552"/>
        <c:scaling>
          <c:orientation val="minMax"/>
        </c:scaling>
        <c:delete val="0"/>
        <c:axPos val="l"/>
        <c:majorGridlines/>
        <c:numFmt formatCode="_-&quot;€&quot;\ * #,##0_-;_-&quot;€&quot;\ * #,##0\-;_-&quot;€&quot;\ * &quot;-&quot;??_-;_-@_-" sourceLinked="1"/>
        <c:majorTickMark val="out"/>
        <c:minorTickMark val="none"/>
        <c:tickLblPos val="nextTo"/>
        <c:crossAx val="174556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60</xdr:row>
      <xdr:rowOff>114299</xdr:rowOff>
    </xdr:from>
    <xdr:to>
      <xdr:col>18</xdr:col>
      <xdr:colOff>114300</xdr:colOff>
      <xdr:row>81</xdr:row>
      <xdr:rowOff>104774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43A7FFE-DE94-4485-BC81-2EAE9B827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eter%20de%20Jong\Documents\Rommelmarkt%20Nieuwland\Financiele%20overzichten\Financieel_overzicht_rommelmarkt_2025.xlsx" TargetMode="External"/><Relationship Id="rId1" Type="http://schemas.openxmlformats.org/officeDocument/2006/relationships/externalLinkPath" Target="Financieel_overzicht_rommelmark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oer"/>
      <sheetName val="Wisselgeld per kraam"/>
      <sheetName val="Blad1"/>
    </sheetNames>
    <sheetDataSet>
      <sheetData sheetId="0">
        <row r="5">
          <cell r="U5">
            <v>159.80000000000001</v>
          </cell>
          <cell r="W5">
            <v>-25.4</v>
          </cell>
        </row>
        <row r="6">
          <cell r="U6">
            <v>1641.72</v>
          </cell>
          <cell r="W6">
            <v>-90.8</v>
          </cell>
        </row>
        <row r="7">
          <cell r="U7">
            <v>209.15</v>
          </cell>
          <cell r="W7">
            <v>-36.4</v>
          </cell>
        </row>
        <row r="8">
          <cell r="U8">
            <v>1239.7</v>
          </cell>
          <cell r="W8">
            <v>-219</v>
          </cell>
        </row>
        <row r="9">
          <cell r="U9">
            <v>782.7</v>
          </cell>
          <cell r="W9">
            <v>-93</v>
          </cell>
        </row>
        <row r="10">
          <cell r="U10">
            <v>498.7</v>
          </cell>
          <cell r="W10">
            <v>-213.5</v>
          </cell>
        </row>
        <row r="11">
          <cell r="U11">
            <v>819.8</v>
          </cell>
          <cell r="W11">
            <v>-140.80000000000001</v>
          </cell>
        </row>
        <row r="12">
          <cell r="U12">
            <v>965.45</v>
          </cell>
          <cell r="W12">
            <v>-139</v>
          </cell>
        </row>
        <row r="13">
          <cell r="U13">
            <v>807.4</v>
          </cell>
          <cell r="W13">
            <v>-87.5</v>
          </cell>
        </row>
        <row r="14">
          <cell r="U14">
            <v>1454.65</v>
          </cell>
          <cell r="W14">
            <v>-312.8</v>
          </cell>
        </row>
        <row r="15">
          <cell r="U15">
            <v>290.8</v>
          </cell>
          <cell r="W15">
            <v>-72.8</v>
          </cell>
        </row>
        <row r="16">
          <cell r="U16">
            <v>565.70000000000005</v>
          </cell>
          <cell r="W16">
            <v>-111.5</v>
          </cell>
        </row>
        <row r="17">
          <cell r="U17">
            <v>1938.15</v>
          </cell>
          <cell r="W17">
            <v>-120</v>
          </cell>
        </row>
        <row r="18">
          <cell r="U18">
            <v>746.05</v>
          </cell>
          <cell r="W18">
            <v>0</v>
          </cell>
        </row>
        <row r="19">
          <cell r="U19">
            <v>674.5</v>
          </cell>
          <cell r="W19">
            <v>-90</v>
          </cell>
        </row>
        <row r="20">
          <cell r="U20">
            <v>958.85</v>
          </cell>
          <cell r="W20">
            <v>-87.5</v>
          </cell>
        </row>
        <row r="21">
          <cell r="U21">
            <v>0</v>
          </cell>
        </row>
        <row r="22">
          <cell r="U22">
            <v>192.25</v>
          </cell>
          <cell r="W22">
            <v>-36.4</v>
          </cell>
        </row>
        <row r="23">
          <cell r="U23">
            <v>655.55</v>
          </cell>
          <cell r="W23">
            <v>0</v>
          </cell>
        </row>
        <row r="24">
          <cell r="U24">
            <v>582.1</v>
          </cell>
          <cell r="W24">
            <v>-87.6</v>
          </cell>
        </row>
        <row r="25">
          <cell r="U25">
            <v>707.1</v>
          </cell>
          <cell r="W25">
            <v>-202.5</v>
          </cell>
        </row>
        <row r="26">
          <cell r="U26">
            <v>269.39999999999998</v>
          </cell>
          <cell r="W26">
            <v>-182.7</v>
          </cell>
        </row>
        <row r="27">
          <cell r="U27">
            <v>144.30000000000001</v>
          </cell>
          <cell r="W27">
            <v>-60.4</v>
          </cell>
        </row>
        <row r="28">
          <cell r="U28">
            <v>130.35</v>
          </cell>
          <cell r="W28">
            <v>-40</v>
          </cell>
        </row>
        <row r="29">
          <cell r="U29">
            <v>0</v>
          </cell>
          <cell r="W29">
            <v>0</v>
          </cell>
        </row>
        <row r="30">
          <cell r="U30">
            <v>228.8</v>
          </cell>
          <cell r="W30">
            <v>-38.4</v>
          </cell>
        </row>
        <row r="31">
          <cell r="U31">
            <v>4608</v>
          </cell>
          <cell r="W31">
            <v>0</v>
          </cell>
        </row>
        <row r="32">
          <cell r="U32">
            <v>45.720000000000027</v>
          </cell>
          <cell r="W32">
            <v>-32.1</v>
          </cell>
        </row>
        <row r="33">
          <cell r="U33">
            <v>761.05</v>
          </cell>
          <cell r="W33">
            <v>-117</v>
          </cell>
        </row>
        <row r="34">
          <cell r="Q34">
            <v>339</v>
          </cell>
          <cell r="W34">
            <v>-27</v>
          </cell>
        </row>
        <row r="35">
          <cell r="U35">
            <v>478</v>
          </cell>
          <cell r="W35">
            <v>-31.1</v>
          </cell>
        </row>
        <row r="36">
          <cell r="U36">
            <v>1601.24</v>
          </cell>
          <cell r="W36">
            <v>0</v>
          </cell>
        </row>
        <row r="37">
          <cell r="U37">
            <v>0</v>
          </cell>
          <cell r="Y37">
            <v>-1172.83</v>
          </cell>
          <cell r="AA37">
            <v>-1172.83</v>
          </cell>
        </row>
        <row r="38">
          <cell r="W38">
            <v>0</v>
          </cell>
        </row>
        <row r="39">
          <cell r="AA3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CC2D-3EE5-408D-8416-7F2748E80207}">
  <dimension ref="A1:AN75"/>
  <sheetViews>
    <sheetView tabSelected="1" zoomScale="85" zoomScaleNormal="85" workbookViewId="0">
      <selection activeCell="B53" sqref="B53"/>
    </sheetView>
  </sheetViews>
  <sheetFormatPr defaultColWidth="26.6640625" defaultRowHeight="12" x14ac:dyDescent="0.25"/>
  <cols>
    <col min="1" max="1" width="24" style="1" customWidth="1"/>
    <col min="2" max="2" width="11.44140625" style="1" bestFit="1" customWidth="1"/>
    <col min="3" max="4" width="11.44140625" style="1" customWidth="1"/>
    <col min="5" max="5" width="14.44140625" style="4" bestFit="1" customWidth="1"/>
    <col min="6" max="8" width="14.44140625" style="4" customWidth="1"/>
    <col min="9" max="9" width="14.44140625" style="1" customWidth="1"/>
    <col min="10" max="10" width="14.44140625" style="4" customWidth="1"/>
    <col min="11" max="11" width="13" style="4" customWidth="1"/>
    <col min="12" max="12" width="13" style="1" customWidth="1"/>
    <col min="13" max="15" width="11.88671875" style="1" customWidth="1"/>
    <col min="16" max="16" width="12.44140625" style="1" bestFit="1" customWidth="1"/>
    <col min="17" max="18" width="11.88671875" style="1" customWidth="1"/>
    <col min="19" max="19" width="11.5546875" style="1" customWidth="1"/>
    <col min="20" max="20" width="12.44140625" style="1" customWidth="1"/>
    <col min="21" max="21" width="12.33203125" style="1" customWidth="1"/>
    <col min="22" max="23" width="11.44140625" style="1" hidden="1" customWidth="1"/>
    <col min="24" max="24" width="9" style="1" hidden="1" customWidth="1"/>
    <col min="25" max="25" width="11.88671875" style="1" hidden="1" customWidth="1"/>
    <col min="26" max="26" width="10.44140625" style="1" hidden="1" customWidth="1"/>
    <col min="27" max="27" width="11.88671875" style="1" hidden="1" customWidth="1"/>
    <col min="28" max="28" width="11.44140625" style="1" hidden="1" customWidth="1"/>
    <col min="29" max="30" width="0.109375" style="1" hidden="1" customWidth="1"/>
    <col min="31" max="31" width="0.33203125" style="1" hidden="1" customWidth="1"/>
    <col min="32" max="32" width="1.5546875" style="1" hidden="1" customWidth="1"/>
    <col min="33" max="33" width="3.88671875" style="1" hidden="1" customWidth="1"/>
    <col min="34" max="34" width="10.88671875" style="1" hidden="1" customWidth="1"/>
    <col min="35" max="35" width="0.109375" style="1" hidden="1" customWidth="1"/>
    <col min="36" max="36" width="11.5546875" style="3" bestFit="1" customWidth="1"/>
    <col min="37" max="37" width="16" style="2" bestFit="1" customWidth="1"/>
    <col min="38" max="38" width="11.88671875" style="1" customWidth="1"/>
    <col min="39" max="39" width="11.44140625" style="1" bestFit="1" customWidth="1"/>
    <col min="40" max="40" width="7.44140625" style="1" bestFit="1" customWidth="1"/>
    <col min="41" max="45" width="10.44140625" style="1" bestFit="1" customWidth="1"/>
    <col min="46" max="16384" width="26.6640625" style="1"/>
  </cols>
  <sheetData>
    <row r="1" spans="1:40" s="1" customFormat="1" ht="5.25" customHeight="1" thickBot="1" x14ac:dyDescent="0.45">
      <c r="A1" s="111"/>
      <c r="B1" s="111"/>
      <c r="C1" s="111"/>
      <c r="D1" s="111"/>
      <c r="E1" s="111"/>
      <c r="F1" s="111"/>
      <c r="G1" s="111"/>
      <c r="H1" s="111"/>
      <c r="I1" s="112"/>
      <c r="J1" s="111"/>
      <c r="K1" s="111"/>
      <c r="L1" s="112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F1" s="111"/>
      <c r="AG1" s="111"/>
      <c r="AH1" s="111"/>
      <c r="AI1" s="111"/>
      <c r="AJ1" s="110"/>
      <c r="AK1" s="109"/>
    </row>
    <row r="2" spans="1:40" s="1" customFormat="1" ht="14.4" thickTop="1" x14ac:dyDescent="0.25">
      <c r="A2" s="108" t="s">
        <v>64</v>
      </c>
      <c r="B2" s="105"/>
      <c r="C2" s="105"/>
      <c r="D2" s="105"/>
      <c r="E2" s="107"/>
      <c r="F2" s="107"/>
      <c r="G2" s="107"/>
      <c r="H2" s="107"/>
      <c r="I2" s="105"/>
      <c r="J2" s="107"/>
      <c r="K2" s="107"/>
      <c r="L2" s="105"/>
      <c r="M2" s="106"/>
      <c r="N2" s="106"/>
      <c r="O2" s="106"/>
      <c r="P2" s="106"/>
      <c r="Q2" s="106"/>
      <c r="R2" s="106"/>
      <c r="S2" s="106"/>
      <c r="T2" s="106"/>
      <c r="U2" s="106"/>
      <c r="V2" s="105"/>
      <c r="W2" s="105"/>
      <c r="X2" s="105"/>
      <c r="Y2" s="105"/>
      <c r="Z2" s="105"/>
      <c r="AA2" s="105"/>
      <c r="AB2" s="104"/>
      <c r="AC2" s="104"/>
      <c r="AD2" s="104"/>
      <c r="AE2" s="103"/>
      <c r="AF2" s="96"/>
      <c r="AG2" s="102"/>
      <c r="AH2" s="101"/>
      <c r="AJ2" s="94" t="s">
        <v>63</v>
      </c>
      <c r="AK2" s="94"/>
    </row>
    <row r="3" spans="1:40" s="1" customFormat="1" ht="14.25" customHeight="1" x14ac:dyDescent="0.25">
      <c r="A3" s="100"/>
      <c r="B3" s="97"/>
      <c r="C3" s="84"/>
      <c r="D3" s="84"/>
      <c r="E3" s="99"/>
      <c r="F3" s="99"/>
      <c r="G3" s="99"/>
      <c r="H3" s="99"/>
      <c r="I3" s="84"/>
      <c r="J3" s="99"/>
      <c r="K3" s="99"/>
      <c r="L3" s="84"/>
      <c r="M3" s="98"/>
      <c r="N3" s="98"/>
      <c r="O3" s="98"/>
      <c r="P3" s="98"/>
      <c r="Q3" s="98"/>
      <c r="R3" s="98"/>
      <c r="S3" s="98"/>
      <c r="T3" s="98"/>
      <c r="U3" s="98"/>
      <c r="V3" s="97"/>
      <c r="W3" s="97"/>
      <c r="X3" s="97"/>
      <c r="Y3" s="97"/>
      <c r="Z3" s="97"/>
      <c r="AA3" s="97"/>
      <c r="AB3" s="48"/>
      <c r="AC3" s="48"/>
      <c r="AD3" s="66"/>
      <c r="AE3" s="96"/>
      <c r="AF3" s="96"/>
      <c r="AG3" s="95"/>
      <c r="AJ3" s="94" t="s">
        <v>62</v>
      </c>
      <c r="AK3" s="94"/>
    </row>
    <row r="4" spans="1:40" s="85" customFormat="1" ht="14.25" customHeight="1" x14ac:dyDescent="0.25">
      <c r="A4" s="93"/>
      <c r="B4" s="15">
        <v>2025</v>
      </c>
      <c r="C4" s="15">
        <v>2025</v>
      </c>
      <c r="D4" s="15">
        <f>C4</f>
        <v>2025</v>
      </c>
      <c r="E4" s="15">
        <v>2025</v>
      </c>
      <c r="F4" s="14">
        <v>2024</v>
      </c>
      <c r="G4" s="14">
        <v>2023</v>
      </c>
      <c r="H4" s="14">
        <v>2022</v>
      </c>
      <c r="I4" s="14">
        <v>2019</v>
      </c>
      <c r="J4" s="14">
        <v>2018</v>
      </c>
      <c r="K4" s="14">
        <v>2017</v>
      </c>
      <c r="L4" s="14">
        <v>2016</v>
      </c>
      <c r="M4" s="14">
        <v>2015</v>
      </c>
      <c r="N4" s="14">
        <v>2014</v>
      </c>
      <c r="O4" s="14">
        <v>2013</v>
      </c>
      <c r="P4" s="14">
        <v>2012</v>
      </c>
      <c r="Q4" s="14">
        <v>2011</v>
      </c>
      <c r="R4" s="14">
        <v>2010</v>
      </c>
      <c r="S4" s="14">
        <v>2009</v>
      </c>
      <c r="T4" s="14">
        <v>2008</v>
      </c>
      <c r="U4" s="14">
        <v>2007</v>
      </c>
      <c r="V4" s="14">
        <v>2005</v>
      </c>
      <c r="W4" s="14">
        <v>2005</v>
      </c>
      <c r="X4" s="14">
        <v>2005</v>
      </c>
      <c r="Y4" s="14">
        <v>2005</v>
      </c>
      <c r="Z4" s="92">
        <v>2004</v>
      </c>
      <c r="AA4" s="92">
        <v>2004</v>
      </c>
      <c r="AB4" s="92">
        <v>2004</v>
      </c>
      <c r="AC4" s="92">
        <v>2004</v>
      </c>
      <c r="AD4" s="91"/>
      <c r="AE4" s="90"/>
      <c r="AF4" s="89"/>
      <c r="AG4" s="88"/>
      <c r="AH4" s="87"/>
      <c r="AI4" s="1"/>
      <c r="AJ4" s="86">
        <v>2022</v>
      </c>
      <c r="AK4" s="86"/>
      <c r="AL4" s="1"/>
      <c r="AM4" s="1"/>
      <c r="AN4" s="1"/>
    </row>
    <row r="5" spans="1:40" s="1" customFormat="1" ht="14.25" customHeight="1" x14ac:dyDescent="0.25">
      <c r="A5" s="41"/>
      <c r="B5" s="81" t="s">
        <v>51</v>
      </c>
      <c r="C5" s="81" t="s">
        <v>61</v>
      </c>
      <c r="D5" s="81" t="s">
        <v>60</v>
      </c>
      <c r="E5" s="83" t="s">
        <v>59</v>
      </c>
      <c r="F5" s="82" t="s">
        <v>59</v>
      </c>
      <c r="G5" s="82" t="s">
        <v>59</v>
      </c>
      <c r="H5" s="82" t="s">
        <v>59</v>
      </c>
      <c r="I5" s="82" t="s">
        <v>59</v>
      </c>
      <c r="J5" s="82" t="s">
        <v>59</v>
      </c>
      <c r="K5" s="82" t="s">
        <v>59</v>
      </c>
      <c r="L5" s="82" t="s">
        <v>59</v>
      </c>
      <c r="M5" s="72" t="s">
        <v>59</v>
      </c>
      <c r="N5" s="72" t="s">
        <v>59</v>
      </c>
      <c r="O5" s="72" t="s">
        <v>59</v>
      </c>
      <c r="P5" s="72" t="s">
        <v>59</v>
      </c>
      <c r="Q5" s="72" t="s">
        <v>59</v>
      </c>
      <c r="R5" s="72" t="s">
        <v>59</v>
      </c>
      <c r="S5" s="72" t="s">
        <v>59</v>
      </c>
      <c r="T5" s="72" t="s">
        <v>58</v>
      </c>
      <c r="U5" s="72" t="s">
        <v>57</v>
      </c>
      <c r="V5" s="81" t="s">
        <v>51</v>
      </c>
      <c r="W5" s="81" t="s">
        <v>56</v>
      </c>
      <c r="X5" s="81" t="s">
        <v>55</v>
      </c>
      <c r="Y5" s="81" t="s">
        <v>54</v>
      </c>
      <c r="Z5" s="80" t="s">
        <v>53</v>
      </c>
      <c r="AA5" s="80" t="s">
        <v>52</v>
      </c>
      <c r="AB5" s="80" t="s">
        <v>51</v>
      </c>
      <c r="AC5" s="80" t="s">
        <v>50</v>
      </c>
      <c r="AD5" s="79"/>
      <c r="AF5" s="34" t="s">
        <v>49</v>
      </c>
      <c r="AG5" s="33"/>
      <c r="AH5" s="85"/>
      <c r="AI5" s="78"/>
      <c r="AJ5" s="77" t="s">
        <v>45</v>
      </c>
      <c r="AK5" s="76" t="s">
        <v>48</v>
      </c>
    </row>
    <row r="6" spans="1:40" s="1" customFormat="1" ht="14.25" customHeight="1" x14ac:dyDescent="0.25">
      <c r="A6" s="41"/>
      <c r="B6" s="81" t="s">
        <v>47</v>
      </c>
      <c r="C6" s="84"/>
      <c r="D6" s="84"/>
      <c r="E6" s="83" t="s">
        <v>47</v>
      </c>
      <c r="F6" s="82" t="s">
        <v>47</v>
      </c>
      <c r="G6" s="82" t="s">
        <v>47</v>
      </c>
      <c r="H6" s="82" t="s">
        <v>47</v>
      </c>
      <c r="I6" s="82" t="s">
        <v>47</v>
      </c>
      <c r="J6" s="82" t="s">
        <v>47</v>
      </c>
      <c r="K6" s="82" t="s">
        <v>47</v>
      </c>
      <c r="L6" s="82" t="s">
        <v>47</v>
      </c>
      <c r="M6" s="72" t="s">
        <v>47</v>
      </c>
      <c r="N6" s="72" t="s">
        <v>47</v>
      </c>
      <c r="O6" s="72" t="s">
        <v>47</v>
      </c>
      <c r="P6" s="72" t="s">
        <v>47</v>
      </c>
      <c r="Q6" s="72" t="s">
        <v>47</v>
      </c>
      <c r="R6" s="72" t="s">
        <v>47</v>
      </c>
      <c r="S6" s="72" t="s">
        <v>47</v>
      </c>
      <c r="T6" s="72" t="s">
        <v>47</v>
      </c>
      <c r="U6" s="72" t="s">
        <v>47</v>
      </c>
      <c r="V6" s="81" t="s">
        <v>47</v>
      </c>
      <c r="W6" s="81"/>
      <c r="X6" s="81"/>
      <c r="Y6" s="81" t="s">
        <v>46</v>
      </c>
      <c r="Z6" s="80" t="s">
        <v>47</v>
      </c>
      <c r="AA6" s="80" t="s">
        <v>46</v>
      </c>
      <c r="AB6" s="80" t="s">
        <v>47</v>
      </c>
      <c r="AC6" s="80" t="s">
        <v>46</v>
      </c>
      <c r="AD6" s="79"/>
      <c r="AF6" s="34" t="s">
        <v>45</v>
      </c>
      <c r="AG6" s="33"/>
      <c r="AI6" s="78"/>
      <c r="AJ6" s="77"/>
      <c r="AK6" s="76"/>
    </row>
    <row r="7" spans="1:40" s="1" customFormat="1" ht="14.25" customHeight="1" x14ac:dyDescent="0.25">
      <c r="A7" s="41" t="s">
        <v>44</v>
      </c>
      <c r="B7" s="40">
        <f>[1]Invoer!U5</f>
        <v>159.80000000000001</v>
      </c>
      <c r="C7" s="40">
        <f>[1]Invoer!W5</f>
        <v>-25.4</v>
      </c>
      <c r="D7" s="40">
        <f>[1]Invoer!Y5</f>
        <v>0</v>
      </c>
      <c r="E7" s="39">
        <f>B7+C7+D7</f>
        <v>134.4</v>
      </c>
      <c r="F7" s="38">
        <v>151.80000000000001</v>
      </c>
      <c r="G7" s="38">
        <v>91.8</v>
      </c>
      <c r="H7" s="38">
        <v>73</v>
      </c>
      <c r="I7" s="38">
        <v>106.55</v>
      </c>
      <c r="J7" s="38">
        <v>88.65</v>
      </c>
      <c r="K7" s="38">
        <v>61.55</v>
      </c>
      <c r="L7" s="38">
        <v>59.05</v>
      </c>
      <c r="M7" s="36">
        <v>97.954222257649889</v>
      </c>
      <c r="N7" s="36">
        <v>95.300000000000011</v>
      </c>
      <c r="O7" s="36">
        <v>83.25</v>
      </c>
      <c r="P7" s="36">
        <v>103.44999999999999</v>
      </c>
      <c r="Q7" s="36">
        <v>85.199999999999989</v>
      </c>
      <c r="R7" s="36">
        <v>82.199999999999989</v>
      </c>
      <c r="S7" s="36">
        <v>90.95</v>
      </c>
      <c r="T7" s="36">
        <v>59.89</v>
      </c>
      <c r="U7" s="36">
        <v>110.8</v>
      </c>
      <c r="V7" s="36">
        <v>413.8</v>
      </c>
      <c r="W7" s="36">
        <v>27</v>
      </c>
      <c r="X7" s="36"/>
      <c r="Y7" s="36">
        <f>W7+X7</f>
        <v>27</v>
      </c>
      <c r="Z7" s="36">
        <f>150+150+83.7</f>
        <v>383.7</v>
      </c>
      <c r="AA7" s="36">
        <f>27+50</f>
        <v>77</v>
      </c>
      <c r="AB7" s="36">
        <v>554.87</v>
      </c>
      <c r="AC7" s="36">
        <v>27</v>
      </c>
      <c r="AD7" s="35"/>
      <c r="AE7" s="62"/>
      <c r="AF7" s="34">
        <v>50.6</v>
      </c>
      <c r="AG7" s="33"/>
      <c r="AI7" s="61"/>
      <c r="AJ7" s="23">
        <f>H7</f>
        <v>73</v>
      </c>
      <c r="AK7" s="22">
        <f>(E7/H7)-1</f>
        <v>0.84109589041095889</v>
      </c>
    </row>
    <row r="8" spans="1:40" s="1" customFormat="1" ht="14.25" customHeight="1" x14ac:dyDescent="0.25">
      <c r="A8" s="41" t="s">
        <v>43</v>
      </c>
      <c r="B8" s="40">
        <f>[1]Invoer!U6</f>
        <v>1641.72</v>
      </c>
      <c r="C8" s="40">
        <f>[1]Invoer!W6</f>
        <v>-90.8</v>
      </c>
      <c r="D8" s="40">
        <f>[1]Invoer!Y6</f>
        <v>0</v>
      </c>
      <c r="E8" s="39">
        <f>B8+C8+D8</f>
        <v>1550.92</v>
      </c>
      <c r="F8" s="38">
        <v>1593.6</v>
      </c>
      <c r="G8" s="38">
        <v>1390.15</v>
      </c>
      <c r="H8" s="38">
        <v>1009.2</v>
      </c>
      <c r="I8" s="38">
        <v>1063.4000000000001</v>
      </c>
      <c r="J8" s="38">
        <v>944.6</v>
      </c>
      <c r="K8" s="38">
        <v>787.5</v>
      </c>
      <c r="L8" s="38">
        <v>604.23</v>
      </c>
      <c r="M8" s="36">
        <v>893.47063276571589</v>
      </c>
      <c r="N8" s="36">
        <v>776</v>
      </c>
      <c r="O8" s="36">
        <v>964.12000000000012</v>
      </c>
      <c r="P8" s="36">
        <v>761.40000000000009</v>
      </c>
      <c r="Q8" s="36">
        <v>812.05000000000007</v>
      </c>
      <c r="R8" s="36">
        <v>705.82</v>
      </c>
      <c r="S8" s="36">
        <v>623</v>
      </c>
      <c r="T8" s="36">
        <v>689.15</v>
      </c>
      <c r="U8" s="36">
        <v>638.54999999999995</v>
      </c>
      <c r="V8" s="36"/>
      <c r="W8" s="36"/>
      <c r="X8" s="36"/>
      <c r="Y8" s="36">
        <f>W8+X8</f>
        <v>0</v>
      </c>
      <c r="Z8" s="36">
        <f>15+89.91</f>
        <v>104.91</v>
      </c>
      <c r="AA8" s="36">
        <v>27</v>
      </c>
      <c r="AB8" s="36">
        <v>77.75</v>
      </c>
      <c r="AC8" s="36">
        <v>27</v>
      </c>
      <c r="AD8" s="35"/>
      <c r="AE8" s="62"/>
      <c r="AF8" s="34">
        <v>-76.930000000000007</v>
      </c>
      <c r="AG8" s="33"/>
      <c r="AI8" s="61"/>
      <c r="AJ8" s="23">
        <f>H8</f>
        <v>1009.2</v>
      </c>
      <c r="AK8" s="22">
        <f>(E8/H8)-1</f>
        <v>0.5367816091954023</v>
      </c>
    </row>
    <row r="9" spans="1:40" s="1" customFormat="1" ht="14.25" customHeight="1" x14ac:dyDescent="0.25">
      <c r="A9" s="41" t="s">
        <v>42</v>
      </c>
      <c r="B9" s="40">
        <f>[1]Invoer!U7</f>
        <v>209.15</v>
      </c>
      <c r="C9" s="40">
        <f>[1]Invoer!W7</f>
        <v>-36.4</v>
      </c>
      <c r="D9" s="40">
        <f>[1]Invoer!Y7</f>
        <v>0</v>
      </c>
      <c r="E9" s="39">
        <f>B9+C9+D9</f>
        <v>172.75</v>
      </c>
      <c r="F9" s="38">
        <v>194.6</v>
      </c>
      <c r="G9" s="38">
        <v>216.6</v>
      </c>
      <c r="H9" s="38">
        <v>167.14</v>
      </c>
      <c r="I9" s="38">
        <v>127.7</v>
      </c>
      <c r="J9" s="38">
        <v>192.3</v>
      </c>
      <c r="K9" s="38">
        <v>145.15</v>
      </c>
      <c r="L9" s="38">
        <v>176.4</v>
      </c>
      <c r="M9" s="36">
        <v>214.81732919161828</v>
      </c>
      <c r="N9" s="36">
        <v>185.3</v>
      </c>
      <c r="O9" s="36">
        <v>118.65</v>
      </c>
      <c r="P9" s="36">
        <v>96.02000000000001</v>
      </c>
      <c r="Q9" s="36">
        <v>159.41</v>
      </c>
      <c r="R9" s="36">
        <v>95.899999999999991</v>
      </c>
      <c r="S9" s="36">
        <v>269.7</v>
      </c>
      <c r="T9" s="36">
        <v>170.3</v>
      </c>
      <c r="U9" s="36">
        <v>236.15</v>
      </c>
      <c r="V9" s="36"/>
      <c r="W9" s="36"/>
      <c r="X9" s="36"/>
      <c r="Y9" s="36">
        <f>W9+X9</f>
        <v>0</v>
      </c>
      <c r="Z9" s="36">
        <f>15+89.91</f>
        <v>104.91</v>
      </c>
      <c r="AA9" s="36">
        <v>27</v>
      </c>
      <c r="AB9" s="36">
        <v>77.75</v>
      </c>
      <c r="AC9" s="36">
        <v>27</v>
      </c>
      <c r="AD9" s="35"/>
      <c r="AE9" s="62"/>
      <c r="AF9" s="34">
        <v>-76.930000000000007</v>
      </c>
      <c r="AG9" s="33"/>
      <c r="AI9" s="61"/>
      <c r="AJ9" s="23">
        <f>H9</f>
        <v>167.14</v>
      </c>
      <c r="AK9" s="22">
        <f>(E9/H9)-1</f>
        <v>3.3564676319253417E-2</v>
      </c>
    </row>
    <row r="10" spans="1:40" s="1" customFormat="1" ht="14.25" customHeight="1" x14ac:dyDescent="0.25">
      <c r="A10" s="41" t="s">
        <v>41</v>
      </c>
      <c r="B10" s="40">
        <f>[1]Invoer!U8</f>
        <v>1239.7</v>
      </c>
      <c r="C10" s="40">
        <f>[1]Invoer!W8</f>
        <v>-219</v>
      </c>
      <c r="D10" s="40">
        <f>[1]Invoer!Y8</f>
        <v>0</v>
      </c>
      <c r="E10" s="39">
        <f>B10+C10+D10</f>
        <v>1020.7</v>
      </c>
      <c r="F10" s="38">
        <v>1330.25</v>
      </c>
      <c r="G10" s="38">
        <v>1058.2</v>
      </c>
      <c r="H10" s="38">
        <v>781.4</v>
      </c>
      <c r="I10" s="38">
        <v>750.35</v>
      </c>
      <c r="J10" s="38">
        <v>1018.25</v>
      </c>
      <c r="K10" s="38">
        <v>1079.55</v>
      </c>
      <c r="L10" s="38">
        <v>940.45</v>
      </c>
      <c r="M10" s="36">
        <v>1036.9405036567991</v>
      </c>
      <c r="N10" s="36">
        <v>1009.53</v>
      </c>
      <c r="O10" s="36">
        <v>942.38999999999987</v>
      </c>
      <c r="P10" s="36">
        <v>717.8</v>
      </c>
      <c r="Q10" s="36">
        <v>901.32</v>
      </c>
      <c r="R10" s="36">
        <v>829.76</v>
      </c>
      <c r="S10" s="36">
        <v>911.6</v>
      </c>
      <c r="T10" s="36">
        <v>653.45000000000005</v>
      </c>
      <c r="U10" s="36">
        <v>802.05</v>
      </c>
      <c r="V10" s="36">
        <v>601.41999999999996</v>
      </c>
      <c r="W10" s="36">
        <v>54</v>
      </c>
      <c r="X10" s="36"/>
      <c r="Y10" s="36">
        <f>W10+X10</f>
        <v>54</v>
      </c>
      <c r="Z10" s="36">
        <f>125+115+100+78.49+97.36</f>
        <v>515.85</v>
      </c>
      <c r="AA10" s="36">
        <v>54</v>
      </c>
      <c r="AB10" s="36">
        <v>622.05999999999995</v>
      </c>
      <c r="AC10" s="36">
        <v>54</v>
      </c>
      <c r="AD10" s="35"/>
      <c r="AE10" s="62"/>
      <c r="AF10" s="34">
        <v>-72.22</v>
      </c>
      <c r="AG10" s="33"/>
      <c r="AI10" s="61"/>
      <c r="AJ10" s="23">
        <f>H10</f>
        <v>781.4</v>
      </c>
      <c r="AK10" s="22">
        <f>(E10/H10)-1</f>
        <v>0.30624520092142316</v>
      </c>
    </row>
    <row r="11" spans="1:40" s="1" customFormat="1" ht="14.25" customHeight="1" x14ac:dyDescent="0.25">
      <c r="A11" s="41" t="s">
        <v>40</v>
      </c>
      <c r="B11" s="40">
        <f>[1]Invoer!U9</f>
        <v>782.7</v>
      </c>
      <c r="C11" s="40">
        <f>[1]Invoer!W9</f>
        <v>-93</v>
      </c>
      <c r="D11" s="40">
        <f>[1]Invoer!Y9</f>
        <v>0</v>
      </c>
      <c r="E11" s="39">
        <f>B11+C11+D11</f>
        <v>689.7</v>
      </c>
      <c r="F11" s="38">
        <v>1119.05</v>
      </c>
      <c r="G11" s="38">
        <v>1189.0999999999999</v>
      </c>
      <c r="H11" s="38">
        <v>879.75</v>
      </c>
      <c r="I11" s="38">
        <v>677.15</v>
      </c>
      <c r="J11" s="38">
        <v>746.4</v>
      </c>
      <c r="K11" s="38">
        <v>1025.2</v>
      </c>
      <c r="L11" s="38">
        <v>376.9</v>
      </c>
      <c r="M11" s="36">
        <v>178.8077865156784</v>
      </c>
      <c r="N11" s="36">
        <v>381.06</v>
      </c>
      <c r="O11" s="36">
        <v>436.1</v>
      </c>
      <c r="P11" s="36">
        <v>332.9</v>
      </c>
      <c r="Q11" s="36">
        <v>249.39999999999998</v>
      </c>
      <c r="R11" s="36">
        <v>814</v>
      </c>
      <c r="S11" s="36">
        <v>321.68</v>
      </c>
      <c r="T11" s="36"/>
      <c r="U11" s="36"/>
      <c r="V11" s="36">
        <v>74.97</v>
      </c>
      <c r="W11" s="36">
        <v>27</v>
      </c>
      <c r="X11" s="36"/>
      <c r="Y11" s="36">
        <f>W11+X11</f>
        <v>27</v>
      </c>
      <c r="Z11" s="36">
        <f>25+30+29.69</f>
        <v>84.69</v>
      </c>
      <c r="AA11" s="36">
        <v>27</v>
      </c>
      <c r="AB11" s="36">
        <v>78.66</v>
      </c>
      <c r="AC11" s="36">
        <v>27</v>
      </c>
      <c r="AD11" s="35"/>
      <c r="AE11" s="62"/>
      <c r="AF11" s="34">
        <v>-50.91</v>
      </c>
      <c r="AG11" s="33"/>
      <c r="AI11" s="61"/>
      <c r="AJ11" s="23">
        <f>H11</f>
        <v>879.75</v>
      </c>
      <c r="AK11" s="22">
        <f>(E11/H11)-1</f>
        <v>-0.21602728047740827</v>
      </c>
    </row>
    <row r="12" spans="1:40" s="1" customFormat="1" ht="14.25" customHeight="1" x14ac:dyDescent="0.25">
      <c r="A12" s="41" t="s">
        <v>39</v>
      </c>
      <c r="B12" s="40">
        <f>[1]Invoer!U10</f>
        <v>498.7</v>
      </c>
      <c r="C12" s="40">
        <f>[1]Invoer!W10</f>
        <v>-213.5</v>
      </c>
      <c r="D12" s="40">
        <f>[1]Invoer!Y10</f>
        <v>0</v>
      </c>
      <c r="E12" s="39">
        <f>B12+C12+D12</f>
        <v>285.2</v>
      </c>
      <c r="F12" s="38">
        <v>335.4</v>
      </c>
      <c r="G12" s="38">
        <v>631.75</v>
      </c>
      <c r="H12" s="38">
        <v>458.1</v>
      </c>
      <c r="I12" s="38">
        <v>376.87</v>
      </c>
      <c r="J12" s="38">
        <v>587.65</v>
      </c>
      <c r="K12" s="38">
        <v>755.6</v>
      </c>
      <c r="L12" s="38">
        <v>364.6</v>
      </c>
      <c r="M12" s="36">
        <v>636.18580848138231</v>
      </c>
      <c r="N12" s="36">
        <v>640.20000000000005</v>
      </c>
      <c r="O12" s="36">
        <v>512.15</v>
      </c>
      <c r="P12" s="36">
        <v>524.31999999999994</v>
      </c>
      <c r="Q12" s="36">
        <v>517.75</v>
      </c>
      <c r="R12" s="36">
        <v>458.01</v>
      </c>
      <c r="S12" s="36">
        <v>558.45000000000005</v>
      </c>
      <c r="T12" s="36">
        <v>405.02</v>
      </c>
      <c r="U12" s="36">
        <v>451.25</v>
      </c>
      <c r="V12" s="36">
        <v>241.5</v>
      </c>
      <c r="W12" s="36">
        <v>27</v>
      </c>
      <c r="X12" s="36">
        <v>27.67</v>
      </c>
      <c r="Y12" s="36">
        <f>W12+X12</f>
        <v>54.67</v>
      </c>
      <c r="Z12" s="36">
        <f>220.5+53</f>
        <v>273.5</v>
      </c>
      <c r="AA12" s="36">
        <f>27+26</f>
        <v>53</v>
      </c>
      <c r="AB12" s="36">
        <v>235.2</v>
      </c>
      <c r="AC12" s="36">
        <v>48.25</v>
      </c>
      <c r="AD12" s="35"/>
      <c r="AF12" s="34">
        <v>16.59</v>
      </c>
      <c r="AG12" s="33"/>
      <c r="AI12" s="61"/>
      <c r="AJ12" s="23">
        <f>H12</f>
        <v>458.1</v>
      </c>
      <c r="AK12" s="22">
        <f>(E12/H12)-1</f>
        <v>-0.37742850905915748</v>
      </c>
    </row>
    <row r="13" spans="1:40" s="1" customFormat="1" ht="14.25" customHeight="1" x14ac:dyDescent="0.25">
      <c r="A13" s="41" t="s">
        <v>38</v>
      </c>
      <c r="B13" s="40">
        <f>[1]Invoer!U11</f>
        <v>819.8</v>
      </c>
      <c r="C13" s="40">
        <f>[1]Invoer!W11</f>
        <v>-140.80000000000001</v>
      </c>
      <c r="D13" s="40">
        <f>[1]Invoer!Y11</f>
        <v>0</v>
      </c>
      <c r="E13" s="39">
        <f>B13+C13+D13</f>
        <v>679</v>
      </c>
      <c r="F13" s="38">
        <v>585.95000000000005</v>
      </c>
      <c r="G13" s="38">
        <v>452.65</v>
      </c>
      <c r="H13" s="38">
        <v>329.5</v>
      </c>
      <c r="I13" s="38">
        <v>469</v>
      </c>
      <c r="J13" s="38">
        <v>536.20000000000005</v>
      </c>
      <c r="K13" s="38">
        <v>640.70000000000005</v>
      </c>
      <c r="L13" s="38">
        <v>873.3</v>
      </c>
      <c r="M13" s="36">
        <v>604.8776551648549</v>
      </c>
      <c r="N13" s="36">
        <v>868.7</v>
      </c>
      <c r="O13" s="36">
        <v>587.54999999999995</v>
      </c>
      <c r="P13" s="36">
        <v>985.19999999999982</v>
      </c>
      <c r="Q13" s="36">
        <v>311.29999999999995</v>
      </c>
      <c r="R13" s="36">
        <v>385.5</v>
      </c>
      <c r="S13" s="36">
        <v>311.89999999999998</v>
      </c>
      <c r="T13" s="36">
        <v>378</v>
      </c>
      <c r="U13" s="36"/>
      <c r="V13" s="36">
        <v>166.6</v>
      </c>
      <c r="W13" s="36">
        <v>27</v>
      </c>
      <c r="X13" s="36"/>
      <c r="Y13" s="36">
        <f>W13+X13</f>
        <v>27</v>
      </c>
      <c r="Z13" s="36">
        <f>80+90+10+19.2</f>
        <v>199.2</v>
      </c>
      <c r="AA13" s="36">
        <v>27</v>
      </c>
      <c r="AB13" s="36">
        <v>166.27</v>
      </c>
      <c r="AC13" s="36">
        <v>27</v>
      </c>
      <c r="AD13" s="35"/>
      <c r="AE13" s="62"/>
      <c r="AF13" s="34">
        <v>-32.700000000000003</v>
      </c>
      <c r="AG13" s="33"/>
      <c r="AI13" s="61"/>
      <c r="AJ13" s="23">
        <f>H13</f>
        <v>329.5</v>
      </c>
      <c r="AK13" s="22">
        <f>(E13/H13)-1</f>
        <v>1.0606980273141122</v>
      </c>
    </row>
    <row r="14" spans="1:40" s="1" customFormat="1" ht="14.25" customHeight="1" x14ac:dyDescent="0.25">
      <c r="A14" s="41" t="s">
        <v>37</v>
      </c>
      <c r="B14" s="40">
        <f>[1]Invoer!U12</f>
        <v>965.45</v>
      </c>
      <c r="C14" s="40">
        <f>[1]Invoer!W12</f>
        <v>-139</v>
      </c>
      <c r="D14" s="40">
        <f>[1]Invoer!Y12</f>
        <v>0</v>
      </c>
      <c r="E14" s="39">
        <f>B14+C14+D14</f>
        <v>826.45</v>
      </c>
      <c r="F14" s="38">
        <v>914.25</v>
      </c>
      <c r="G14" s="38">
        <v>962.9</v>
      </c>
      <c r="H14" s="38">
        <v>845.72</v>
      </c>
      <c r="I14" s="38">
        <v>496.4</v>
      </c>
      <c r="J14" s="38">
        <v>365.35</v>
      </c>
      <c r="K14" s="38">
        <v>487.1</v>
      </c>
      <c r="L14" s="38">
        <v>518.07000000000005</v>
      </c>
      <c r="M14" s="36">
        <v>536.84183486364225</v>
      </c>
      <c r="N14" s="36">
        <v>228.64999999999998</v>
      </c>
      <c r="O14" s="36">
        <v>482.01999999999987</v>
      </c>
      <c r="P14" s="36">
        <v>328.4</v>
      </c>
      <c r="Q14" s="36">
        <v>746.51</v>
      </c>
      <c r="R14" s="36">
        <v>648.96999999999991</v>
      </c>
      <c r="S14" s="36">
        <v>799.53</v>
      </c>
      <c r="T14" s="36">
        <v>655.1</v>
      </c>
      <c r="U14" s="36">
        <v>783.4</v>
      </c>
      <c r="V14" s="36">
        <v>114.25</v>
      </c>
      <c r="W14" s="36">
        <v>27</v>
      </c>
      <c r="X14" s="36"/>
      <c r="Y14" s="36">
        <f>W14+X14</f>
        <v>27</v>
      </c>
      <c r="Z14" s="36"/>
      <c r="AA14" s="36"/>
      <c r="AB14" s="36"/>
      <c r="AC14" s="36"/>
      <c r="AD14" s="66"/>
      <c r="AE14" s="65"/>
      <c r="AF14" s="34">
        <v>15.17</v>
      </c>
      <c r="AG14" s="33"/>
      <c r="AI14" s="61"/>
      <c r="AJ14" s="23">
        <f>H14</f>
        <v>845.72</v>
      </c>
      <c r="AK14" s="22">
        <f>(E14/H14)-1</f>
        <v>-2.2785319018114758E-2</v>
      </c>
    </row>
    <row r="15" spans="1:40" s="1" customFormat="1" ht="14.25" customHeight="1" x14ac:dyDescent="0.25">
      <c r="A15" s="41" t="s">
        <v>36</v>
      </c>
      <c r="B15" s="40">
        <f>[1]Invoer!U13</f>
        <v>807.4</v>
      </c>
      <c r="C15" s="40">
        <f>[1]Invoer!W13</f>
        <v>-87.5</v>
      </c>
      <c r="D15" s="40">
        <f>[1]Invoer!Y13</f>
        <v>0</v>
      </c>
      <c r="E15" s="39">
        <f>B15+C15+D15</f>
        <v>719.9</v>
      </c>
      <c r="F15" s="38">
        <v>627</v>
      </c>
      <c r="G15" s="38">
        <v>460.1</v>
      </c>
      <c r="H15" s="38">
        <v>502.3</v>
      </c>
      <c r="I15" s="38">
        <v>442.1</v>
      </c>
      <c r="J15" s="38">
        <v>495.9</v>
      </c>
      <c r="K15" s="38">
        <v>243.5</v>
      </c>
      <c r="L15" s="38">
        <v>429.05</v>
      </c>
      <c r="M15" s="36"/>
      <c r="N15" s="36"/>
      <c r="O15" s="36"/>
      <c r="P15" s="36"/>
      <c r="Q15" s="36"/>
      <c r="R15" s="36"/>
      <c r="S15" s="36"/>
      <c r="T15" s="36"/>
      <c r="U15" s="36"/>
      <c r="V15" s="36">
        <v>409.95</v>
      </c>
      <c r="W15" s="36">
        <v>27</v>
      </c>
      <c r="X15" s="36"/>
      <c r="Y15" s="36">
        <f>W15+X15</f>
        <v>27</v>
      </c>
      <c r="Z15" s="36">
        <f>160+50+20+97.91</f>
        <v>327.90999999999997</v>
      </c>
      <c r="AA15" s="36">
        <v>27</v>
      </c>
      <c r="AB15" s="36">
        <v>268.08999999999997</v>
      </c>
      <c r="AC15" s="36">
        <v>27</v>
      </c>
      <c r="AD15" s="35"/>
      <c r="AE15" s="62"/>
      <c r="AF15" s="34">
        <v>79.37</v>
      </c>
      <c r="AG15" s="33"/>
      <c r="AI15" s="61"/>
      <c r="AJ15" s="23">
        <f>H15</f>
        <v>502.3</v>
      </c>
      <c r="AK15" s="22">
        <f>(E15/H15)-1</f>
        <v>0.43320724666533938</v>
      </c>
    </row>
    <row r="16" spans="1:40" s="1" customFormat="1" ht="14.25" customHeight="1" x14ac:dyDescent="0.25">
      <c r="A16" s="41" t="s">
        <v>35</v>
      </c>
      <c r="B16" s="40">
        <f>[1]Invoer!U14</f>
        <v>1454.65</v>
      </c>
      <c r="C16" s="40">
        <f>[1]Invoer!W14</f>
        <v>-312.8</v>
      </c>
      <c r="D16" s="40">
        <f>[1]Invoer!Y14</f>
        <v>0</v>
      </c>
      <c r="E16" s="39">
        <f>B16+C16+D16</f>
        <v>1141.8500000000001</v>
      </c>
      <c r="F16" s="38">
        <v>1350.4</v>
      </c>
      <c r="G16" s="38">
        <v>1327.55</v>
      </c>
      <c r="H16" s="38">
        <v>643.70000000000005</v>
      </c>
      <c r="I16" s="38">
        <v>706</v>
      </c>
      <c r="J16" s="38">
        <v>1024.5</v>
      </c>
      <c r="K16" s="38">
        <v>1299.75</v>
      </c>
      <c r="L16" s="38">
        <v>858.12</v>
      </c>
      <c r="M16" s="36">
        <v>1221.028312068433</v>
      </c>
      <c r="N16" s="36">
        <v>1464.5</v>
      </c>
      <c r="O16" s="36">
        <v>1367.85</v>
      </c>
      <c r="P16" s="36">
        <v>851.73</v>
      </c>
      <c r="Q16" s="36">
        <v>587.58999999999992</v>
      </c>
      <c r="R16" s="36">
        <v>707.52</v>
      </c>
      <c r="S16" s="36">
        <v>971.05</v>
      </c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5"/>
      <c r="AE16" s="62"/>
      <c r="AF16" s="34"/>
      <c r="AG16" s="33"/>
      <c r="AI16" s="61"/>
      <c r="AJ16" s="23">
        <f>H16</f>
        <v>643.70000000000005</v>
      </c>
      <c r="AK16" s="22">
        <f>(E16/H16)-1</f>
        <v>0.7738853503184715</v>
      </c>
    </row>
    <row r="17" spans="1:37" s="1" customFormat="1" ht="14.25" customHeight="1" x14ac:dyDescent="0.25">
      <c r="A17" s="41" t="s">
        <v>34</v>
      </c>
      <c r="B17" s="40">
        <f>[1]Invoer!U15</f>
        <v>290.8</v>
      </c>
      <c r="C17" s="40">
        <f>[1]Invoer!W15</f>
        <v>-72.8</v>
      </c>
      <c r="D17" s="40">
        <f>[1]Invoer!Y15</f>
        <v>0</v>
      </c>
      <c r="E17" s="39">
        <f>B17+C17+D17</f>
        <v>218</v>
      </c>
      <c r="F17" s="38">
        <v>310.7</v>
      </c>
      <c r="G17" s="38">
        <v>359.5</v>
      </c>
      <c r="H17" s="38">
        <v>255.15</v>
      </c>
      <c r="I17" s="38">
        <v>256.85000000000002</v>
      </c>
      <c r="J17" s="38">
        <v>276</v>
      </c>
      <c r="K17" s="38">
        <v>440.3</v>
      </c>
      <c r="L17" s="38">
        <v>177.07</v>
      </c>
      <c r="M17" s="36">
        <v>277.95027201801497</v>
      </c>
      <c r="N17" s="36">
        <v>345.65</v>
      </c>
      <c r="O17" s="36">
        <v>352.71</v>
      </c>
      <c r="P17" s="36">
        <v>260.2</v>
      </c>
      <c r="Q17" s="36">
        <v>268.29999999999995</v>
      </c>
      <c r="R17" s="36">
        <v>252.16</v>
      </c>
      <c r="S17" s="36">
        <v>313.3</v>
      </c>
      <c r="T17" s="36">
        <v>288.25</v>
      </c>
      <c r="U17" s="36">
        <v>325.60000000000002</v>
      </c>
      <c r="V17" s="36">
        <v>82.95</v>
      </c>
      <c r="W17" s="36">
        <v>27</v>
      </c>
      <c r="X17" s="36"/>
      <c r="Y17" s="36">
        <f>W17+X17</f>
        <v>27</v>
      </c>
      <c r="Z17" s="36">
        <f>35+25+30+23.15</f>
        <v>113.15</v>
      </c>
      <c r="AA17" s="36">
        <v>27</v>
      </c>
      <c r="AB17" s="36">
        <v>64.45</v>
      </c>
      <c r="AC17" s="36">
        <v>27</v>
      </c>
      <c r="AD17" s="35"/>
      <c r="AE17" s="62"/>
      <c r="AF17" s="34">
        <v>49.95</v>
      </c>
      <c r="AG17" s="33"/>
      <c r="AI17" s="61"/>
      <c r="AJ17" s="23">
        <f>H17</f>
        <v>255.15</v>
      </c>
      <c r="AK17" s="22">
        <f>(E17/H17)-1</f>
        <v>-0.14560062708210864</v>
      </c>
    </row>
    <row r="18" spans="1:37" s="1" customFormat="1" ht="14.25" customHeight="1" x14ac:dyDescent="0.25">
      <c r="A18" s="41" t="s">
        <v>33</v>
      </c>
      <c r="B18" s="40">
        <f>[1]Invoer!U16</f>
        <v>565.70000000000005</v>
      </c>
      <c r="C18" s="40">
        <f>[1]Invoer!W16</f>
        <v>-111.5</v>
      </c>
      <c r="D18" s="40">
        <f>[1]Invoer!Y16</f>
        <v>0</v>
      </c>
      <c r="E18" s="39">
        <f>B18+C18+D18</f>
        <v>454.20000000000005</v>
      </c>
      <c r="F18" s="38">
        <v>591.9</v>
      </c>
      <c r="G18" s="38">
        <v>662.75</v>
      </c>
      <c r="H18" s="38">
        <v>513</v>
      </c>
      <c r="I18" s="38">
        <v>494.04</v>
      </c>
      <c r="J18" s="38">
        <v>574.29999999999995</v>
      </c>
      <c r="K18" s="38">
        <v>754.05</v>
      </c>
      <c r="L18" s="38">
        <v>478.73</v>
      </c>
      <c r="M18" s="36">
        <v>575.2227376670221</v>
      </c>
      <c r="N18" s="36">
        <v>589.17000000000007</v>
      </c>
      <c r="O18" s="36">
        <v>544.66000000000008</v>
      </c>
      <c r="P18" s="36">
        <v>437.96000000000004</v>
      </c>
      <c r="Q18" s="36">
        <v>431.71000000000004</v>
      </c>
      <c r="R18" s="36">
        <v>384.19</v>
      </c>
      <c r="S18" s="36">
        <v>553.5</v>
      </c>
      <c r="T18" s="36">
        <v>464.15</v>
      </c>
      <c r="U18" s="36">
        <v>497.55</v>
      </c>
      <c r="V18" s="36">
        <v>449.45</v>
      </c>
      <c r="W18" s="36">
        <v>54</v>
      </c>
      <c r="X18" s="36"/>
      <c r="Y18" s="36">
        <f>W18+X18</f>
        <v>54</v>
      </c>
      <c r="Z18" s="36">
        <f>30+60+60+100+90+196.8</f>
        <v>536.79999999999995</v>
      </c>
      <c r="AA18" s="36">
        <v>54</v>
      </c>
      <c r="AB18" s="36">
        <v>502.86</v>
      </c>
      <c r="AC18" s="36">
        <v>54</v>
      </c>
      <c r="AD18" s="35"/>
      <c r="AE18" s="62"/>
      <c r="AF18" s="34">
        <v>-33.4</v>
      </c>
      <c r="AG18" s="33"/>
      <c r="AI18" s="61"/>
      <c r="AJ18" s="23">
        <f>H18</f>
        <v>513</v>
      </c>
      <c r="AK18" s="22">
        <f>(E18/H18)-1</f>
        <v>-0.11461988304093562</v>
      </c>
    </row>
    <row r="19" spans="1:37" s="1" customFormat="1" ht="14.25" customHeight="1" x14ac:dyDescent="0.25">
      <c r="A19" s="41" t="s">
        <v>32</v>
      </c>
      <c r="B19" s="40">
        <f>[1]Invoer!U17</f>
        <v>1938.15</v>
      </c>
      <c r="C19" s="40">
        <f>[1]Invoer!W17</f>
        <v>-120</v>
      </c>
      <c r="D19" s="40">
        <f>[1]Invoer!Y17</f>
        <v>0</v>
      </c>
      <c r="E19" s="39">
        <f>B19+C19+D19</f>
        <v>1818.15</v>
      </c>
      <c r="F19" s="38">
        <v>1912.6</v>
      </c>
      <c r="G19" s="38">
        <v>1819.85</v>
      </c>
      <c r="H19" s="38">
        <v>1841.8</v>
      </c>
      <c r="I19" s="38">
        <v>1085.55</v>
      </c>
      <c r="J19" s="38">
        <v>1085.0999999999999</v>
      </c>
      <c r="K19" s="38">
        <v>1574.2</v>
      </c>
      <c r="L19" s="38">
        <v>1097.47</v>
      </c>
      <c r="M19" s="36">
        <v>1121.9374901854305</v>
      </c>
      <c r="N19" s="36">
        <v>1341.62</v>
      </c>
      <c r="O19" s="36">
        <v>1062.1100000000001</v>
      </c>
      <c r="P19" s="36">
        <v>923.72</v>
      </c>
      <c r="Q19" s="36">
        <v>929.31999999999994</v>
      </c>
      <c r="R19" s="36">
        <v>786.86</v>
      </c>
      <c r="S19" s="36">
        <v>602.29</v>
      </c>
      <c r="T19" s="36">
        <v>454.5</v>
      </c>
      <c r="U19" s="36">
        <v>375.13</v>
      </c>
      <c r="V19" s="36">
        <v>159.66999999999999</v>
      </c>
      <c r="W19" s="36">
        <v>27</v>
      </c>
      <c r="X19" s="36"/>
      <c r="Y19" s="36">
        <f>W19+X19</f>
        <v>27</v>
      </c>
      <c r="Z19" s="36">
        <f>30+67.11</f>
        <v>97.11</v>
      </c>
      <c r="AA19" s="36">
        <v>27</v>
      </c>
      <c r="AB19" s="36">
        <v>111.01</v>
      </c>
      <c r="AC19" s="36">
        <v>27</v>
      </c>
      <c r="AD19" s="35"/>
      <c r="AE19" s="62"/>
      <c r="AF19" s="68">
        <v>-4.5999999999999996</v>
      </c>
      <c r="AG19" s="67"/>
      <c r="AI19" s="61"/>
      <c r="AJ19" s="23">
        <f>H19</f>
        <v>1841.8</v>
      </c>
      <c r="AK19" s="22">
        <f>(E19/H19)-1</f>
        <v>-1.2840699315886606E-2</v>
      </c>
    </row>
    <row r="20" spans="1:37" s="1" customFormat="1" ht="14.25" customHeight="1" x14ac:dyDescent="0.25">
      <c r="A20" s="41" t="s">
        <v>31</v>
      </c>
      <c r="B20" s="40">
        <f>[1]Invoer!U18</f>
        <v>746.05</v>
      </c>
      <c r="C20" s="40">
        <f>[1]Invoer!W18</f>
        <v>0</v>
      </c>
      <c r="D20" s="40">
        <f>[1]Invoer!Y18</f>
        <v>0</v>
      </c>
      <c r="E20" s="39">
        <f>B20+C20+D20</f>
        <v>746.05</v>
      </c>
      <c r="F20" s="38">
        <v>200</v>
      </c>
      <c r="G20" s="38">
        <v>10</v>
      </c>
      <c r="H20" s="38">
        <v>150</v>
      </c>
      <c r="I20" s="38">
        <f>C20+D20+E20</f>
        <v>746.05</v>
      </c>
      <c r="J20" s="38">
        <v>0</v>
      </c>
      <c r="K20" s="38">
        <v>0</v>
      </c>
      <c r="L20" s="38">
        <f>[1]Invoer!AB34</f>
        <v>0</v>
      </c>
      <c r="M20" s="36">
        <v>0</v>
      </c>
      <c r="N20" s="36">
        <v>0</v>
      </c>
      <c r="O20" s="36">
        <v>0</v>
      </c>
      <c r="P20" s="36">
        <v>0</v>
      </c>
      <c r="Q20" s="36">
        <v>80</v>
      </c>
      <c r="R20" s="36">
        <v>0</v>
      </c>
      <c r="S20" s="36"/>
      <c r="T20" s="36">
        <v>30</v>
      </c>
      <c r="U20" s="36">
        <v>40</v>
      </c>
      <c r="V20" s="36">
        <v>102.3</v>
      </c>
      <c r="W20" s="36">
        <v>27</v>
      </c>
      <c r="X20" s="36"/>
      <c r="Y20" s="36">
        <f>W20+X20</f>
        <v>27</v>
      </c>
      <c r="Z20" s="36">
        <f>75+22.72</f>
        <v>97.72</v>
      </c>
      <c r="AA20" s="36">
        <v>27</v>
      </c>
      <c r="AB20" s="36">
        <v>130.43</v>
      </c>
      <c r="AC20" s="36">
        <v>27</v>
      </c>
      <c r="AD20" s="35"/>
      <c r="AF20" s="64"/>
      <c r="AG20" s="63"/>
      <c r="AI20" s="61"/>
      <c r="AJ20" s="23">
        <f>H20</f>
        <v>150</v>
      </c>
      <c r="AK20" s="22">
        <f>(E20/H20)-1</f>
        <v>3.9736666666666665</v>
      </c>
    </row>
    <row r="21" spans="1:37" s="1" customFormat="1" ht="14.25" customHeight="1" x14ac:dyDescent="0.25">
      <c r="A21" s="41" t="s">
        <v>30</v>
      </c>
      <c r="B21" s="40">
        <f>[1]Invoer!U19</f>
        <v>674.5</v>
      </c>
      <c r="C21" s="40">
        <f>[1]Invoer!W19</f>
        <v>-90</v>
      </c>
      <c r="D21" s="40">
        <f>[1]Invoer!Y19</f>
        <v>0</v>
      </c>
      <c r="E21" s="39">
        <f>B21+C21+D21</f>
        <v>584.5</v>
      </c>
      <c r="F21" s="38">
        <v>571.4</v>
      </c>
      <c r="G21" s="38">
        <v>579.4</v>
      </c>
      <c r="H21" s="38">
        <v>501.05</v>
      </c>
      <c r="I21" s="38">
        <v>475.9</v>
      </c>
      <c r="J21" s="38">
        <v>397</v>
      </c>
      <c r="K21" s="38">
        <v>406</v>
      </c>
      <c r="L21" s="38">
        <v>264.85000000000002</v>
      </c>
      <c r="M21" s="36">
        <v>614.53875198035098</v>
      </c>
      <c r="N21" s="36">
        <v>474.19999999999993</v>
      </c>
      <c r="O21" s="36">
        <v>472.19000000000005</v>
      </c>
      <c r="P21" s="36">
        <v>338.87</v>
      </c>
      <c r="Q21" s="36">
        <v>390.1</v>
      </c>
      <c r="R21" s="36">
        <v>279.05000000000007</v>
      </c>
      <c r="S21" s="36">
        <v>389.05</v>
      </c>
      <c r="T21" s="36">
        <v>394.4</v>
      </c>
      <c r="U21" s="36">
        <v>444.95</v>
      </c>
      <c r="V21" s="36">
        <v>259.8</v>
      </c>
      <c r="W21" s="36">
        <v>27</v>
      </c>
      <c r="X21" s="36"/>
      <c r="Y21" s="36">
        <f>W21+X21</f>
        <v>27</v>
      </c>
      <c r="Z21" s="36">
        <f>90+50+74.05</f>
        <v>214.05</v>
      </c>
      <c r="AA21" s="36">
        <v>27</v>
      </c>
      <c r="AB21" s="36">
        <v>248.01</v>
      </c>
      <c r="AC21" s="36">
        <v>27</v>
      </c>
      <c r="AD21" s="35"/>
      <c r="AE21" s="62"/>
      <c r="AF21" s="34">
        <v>-37.35</v>
      </c>
      <c r="AG21" s="33"/>
      <c r="AI21" s="61"/>
      <c r="AJ21" s="23">
        <f>H21</f>
        <v>501.05</v>
      </c>
      <c r="AK21" s="22">
        <f>(E21/H21)-1</f>
        <v>0.16655024448657807</v>
      </c>
    </row>
    <row r="22" spans="1:37" s="1" customFormat="1" ht="14.25" customHeight="1" x14ac:dyDescent="0.25">
      <c r="A22" s="41" t="s">
        <v>29</v>
      </c>
      <c r="B22" s="40">
        <f>[1]Invoer!U20</f>
        <v>958.85</v>
      </c>
      <c r="C22" s="40">
        <f>[1]Invoer!W20</f>
        <v>-87.5</v>
      </c>
      <c r="D22" s="40">
        <f>[1]Invoer!Y20</f>
        <v>0</v>
      </c>
      <c r="E22" s="39">
        <f>B22+C22+D22</f>
        <v>871.35</v>
      </c>
      <c r="F22" s="38">
        <v>1095.7</v>
      </c>
      <c r="G22" s="38">
        <v>1076.5</v>
      </c>
      <c r="H22" s="38">
        <v>963.4</v>
      </c>
      <c r="I22" s="38">
        <v>764.45</v>
      </c>
      <c r="J22" s="38">
        <v>633.54999999999995</v>
      </c>
      <c r="K22" s="38">
        <v>625.1</v>
      </c>
      <c r="L22" s="38">
        <v>653.11</v>
      </c>
      <c r="M22" s="36">
        <v>640.85103330726088</v>
      </c>
      <c r="N22" s="36">
        <v>616.95000000000005</v>
      </c>
      <c r="O22" s="36">
        <v>603.30999999999995</v>
      </c>
      <c r="P22" s="36">
        <v>568.69999999999993</v>
      </c>
      <c r="Q22" s="36"/>
      <c r="R22" s="36"/>
      <c r="S22" s="36"/>
      <c r="T22" s="36"/>
      <c r="U22" s="36"/>
      <c r="V22" s="36">
        <v>799.4</v>
      </c>
      <c r="W22" s="36">
        <v>42</v>
      </c>
      <c r="X22" s="36"/>
      <c r="Y22" s="36">
        <f>W22+X22</f>
        <v>42</v>
      </c>
      <c r="Z22" s="36">
        <f>220+120+70+90+75+189.55</f>
        <v>764.55</v>
      </c>
      <c r="AA22" s="36">
        <v>42</v>
      </c>
      <c r="AB22" s="36">
        <v>637.29</v>
      </c>
      <c r="AC22" s="36">
        <v>42</v>
      </c>
      <c r="AD22" s="35"/>
      <c r="AE22" s="62"/>
      <c r="AF22" s="34">
        <v>-148.6</v>
      </c>
      <c r="AG22" s="33"/>
      <c r="AI22" s="61"/>
      <c r="AJ22" s="23">
        <f>H22</f>
        <v>963.4</v>
      </c>
      <c r="AK22" s="22">
        <f>(E22/H22)-1</f>
        <v>-9.5547020967407081E-2</v>
      </c>
    </row>
    <row r="23" spans="1:37" s="1" customFormat="1" ht="14.25" customHeight="1" x14ac:dyDescent="0.25">
      <c r="A23" s="41" t="s">
        <v>28</v>
      </c>
      <c r="B23" s="40">
        <f>[1]Invoer!U22</f>
        <v>192.25</v>
      </c>
      <c r="C23" s="40">
        <f>[1]Invoer!W22</f>
        <v>-36.4</v>
      </c>
      <c r="D23" s="40">
        <f>[1]Invoer!Y21</f>
        <v>0</v>
      </c>
      <c r="E23" s="39">
        <f>B23+C23+D23</f>
        <v>155.85</v>
      </c>
      <c r="F23" s="38">
        <v>146.9</v>
      </c>
      <c r="G23" s="38">
        <v>174.1</v>
      </c>
      <c r="H23" s="38">
        <v>124.85</v>
      </c>
      <c r="I23" s="38">
        <v>70</v>
      </c>
      <c r="J23" s="38">
        <v>155.6</v>
      </c>
      <c r="K23" s="38">
        <v>184.2</v>
      </c>
      <c r="L23" s="38">
        <v>99.9</v>
      </c>
      <c r="M23" s="36">
        <v>135.92698246828948</v>
      </c>
      <c r="N23" s="36">
        <v>116.54999999999998</v>
      </c>
      <c r="O23" s="36">
        <v>93.6</v>
      </c>
      <c r="P23" s="36">
        <v>97.1</v>
      </c>
      <c r="Q23" s="36">
        <v>148.60000000000002</v>
      </c>
      <c r="R23" s="36">
        <v>118.25000000000001</v>
      </c>
      <c r="S23" s="36">
        <v>98.98</v>
      </c>
      <c r="T23" s="36">
        <v>76.2</v>
      </c>
      <c r="U23" s="36">
        <v>108.9</v>
      </c>
      <c r="V23" s="36">
        <v>102.3</v>
      </c>
      <c r="W23" s="36">
        <v>27</v>
      </c>
      <c r="X23" s="36"/>
      <c r="Y23" s="36">
        <f>W23+X23</f>
        <v>27</v>
      </c>
      <c r="Z23" s="36">
        <f>75+22.72</f>
        <v>97.72</v>
      </c>
      <c r="AA23" s="36">
        <v>27</v>
      </c>
      <c r="AB23" s="36">
        <v>130.43</v>
      </c>
      <c r="AC23" s="36">
        <v>27</v>
      </c>
      <c r="AD23" s="35"/>
      <c r="AF23" s="75"/>
      <c r="AG23" s="74"/>
      <c r="AI23" s="61"/>
      <c r="AJ23" s="23">
        <f>H23</f>
        <v>124.85</v>
      </c>
      <c r="AK23" s="22">
        <f>(E23/H23)-1</f>
        <v>0.24829795754905892</v>
      </c>
    </row>
    <row r="24" spans="1:37" s="1" customFormat="1" ht="14.25" customHeight="1" x14ac:dyDescent="0.25">
      <c r="A24" s="73" t="s">
        <v>27</v>
      </c>
      <c r="B24" s="40">
        <f>[1]Invoer!U23</f>
        <v>655.55</v>
      </c>
      <c r="C24" s="40">
        <f>[1]Invoer!W23</f>
        <v>0</v>
      </c>
      <c r="D24" s="40">
        <f>[1]Invoer!Y22</f>
        <v>0</v>
      </c>
      <c r="E24" s="39">
        <f>B24+C24+D24</f>
        <v>655.55</v>
      </c>
      <c r="F24" s="38">
        <v>635.11</v>
      </c>
      <c r="G24" s="38"/>
      <c r="H24" s="38"/>
      <c r="I24" s="38"/>
      <c r="J24" s="38">
        <v>0</v>
      </c>
      <c r="K24" s="38">
        <v>0</v>
      </c>
      <c r="L24" s="38">
        <f>[1]Invoer!AB35</f>
        <v>0</v>
      </c>
      <c r="M24" s="36">
        <v>0</v>
      </c>
      <c r="N24" s="36">
        <v>0</v>
      </c>
      <c r="O24" s="36">
        <v>0</v>
      </c>
      <c r="P24" s="36">
        <v>0</v>
      </c>
      <c r="Q24" s="36">
        <v>400</v>
      </c>
      <c r="R24" s="36">
        <v>0</v>
      </c>
      <c r="S24" s="36"/>
      <c r="T24" s="36">
        <v>0</v>
      </c>
      <c r="U24" s="36">
        <v>0</v>
      </c>
      <c r="V24" s="36">
        <v>1125.3699999999999</v>
      </c>
      <c r="W24" s="36">
        <v>172</v>
      </c>
      <c r="X24" s="36">
        <f>10+227.63+10.36+47.45+22.26</f>
        <v>317.7</v>
      </c>
      <c r="Y24" s="36">
        <f>W24+X24</f>
        <v>489.7</v>
      </c>
      <c r="Z24" s="36">
        <f>200+100+200+125+100+362.24-157</f>
        <v>930.24</v>
      </c>
      <c r="AA24" s="36">
        <f>172+31.29+27.57+167+4+49.51+36.3</f>
        <v>487.67</v>
      </c>
      <c r="AB24" s="36">
        <v>1146.49</v>
      </c>
      <c r="AC24" s="36">
        <v>558.70000000000005</v>
      </c>
      <c r="AD24" s="35"/>
      <c r="AE24" s="65"/>
      <c r="AF24" s="34">
        <v>-128.30000000000001</v>
      </c>
      <c r="AG24" s="33"/>
      <c r="AI24" s="61"/>
      <c r="AJ24" s="23">
        <f>H24</f>
        <v>0</v>
      </c>
      <c r="AK24" s="22" t="e">
        <f>(E24/H24)-1</f>
        <v>#DIV/0!</v>
      </c>
    </row>
    <row r="25" spans="1:37" s="1" customFormat="1" ht="14.25" customHeight="1" x14ac:dyDescent="0.25">
      <c r="A25" s="41" t="s">
        <v>26</v>
      </c>
      <c r="B25" s="40">
        <f>[1]Invoer!Q34</f>
        <v>339</v>
      </c>
      <c r="C25" s="40">
        <f>[1]Invoer!W34</f>
        <v>-27</v>
      </c>
      <c r="D25" s="40">
        <f>[1]Invoer!Y23</f>
        <v>0</v>
      </c>
      <c r="E25" s="39">
        <f>B25+C25+D25</f>
        <v>312</v>
      </c>
      <c r="F25" s="38">
        <v>230.6</v>
      </c>
      <c r="G25" s="38">
        <v>51.3</v>
      </c>
      <c r="H25" s="38">
        <v>29.95</v>
      </c>
      <c r="I25" s="38">
        <v>63.11</v>
      </c>
      <c r="J25" s="38">
        <v>62.15</v>
      </c>
      <c r="K25" s="38">
        <v>76.95</v>
      </c>
      <c r="L25" s="38">
        <v>47.7</v>
      </c>
      <c r="M25" s="72">
        <v>34.769615811918975</v>
      </c>
      <c r="N25" s="72" t="s">
        <v>25</v>
      </c>
      <c r="O25" s="72" t="s">
        <v>25</v>
      </c>
      <c r="P25" s="72" t="s">
        <v>25</v>
      </c>
      <c r="Q25" s="72" t="s">
        <v>25</v>
      </c>
      <c r="R25" s="72" t="s">
        <v>25</v>
      </c>
      <c r="S25" s="72" t="s">
        <v>25</v>
      </c>
      <c r="T25" s="72" t="s">
        <v>25</v>
      </c>
      <c r="U25" s="72" t="s">
        <v>25</v>
      </c>
      <c r="V25" s="36">
        <v>332.67</v>
      </c>
      <c r="W25" s="36">
        <v>62</v>
      </c>
      <c r="X25" s="36">
        <f>10+26.42</f>
        <v>36.42</v>
      </c>
      <c r="Y25" s="36">
        <f>W25+X25</f>
        <v>98.42</v>
      </c>
      <c r="Z25" s="36">
        <f>70+60+50+25+20+9.73</f>
        <v>234.73</v>
      </c>
      <c r="AA25" s="36">
        <f>27+62</f>
        <v>89</v>
      </c>
      <c r="AB25" s="36">
        <v>264.98</v>
      </c>
      <c r="AC25" s="36">
        <v>87.95</v>
      </c>
      <c r="AD25" s="35"/>
      <c r="AF25" s="34"/>
      <c r="AG25" s="33"/>
      <c r="AI25" s="61"/>
      <c r="AJ25" s="23">
        <f>H25</f>
        <v>29.95</v>
      </c>
      <c r="AK25" s="22">
        <f>(E25/H25)-1</f>
        <v>9.4173622704507522</v>
      </c>
    </row>
    <row r="26" spans="1:37" s="1" customFormat="1" ht="14.25" customHeight="1" x14ac:dyDescent="0.25">
      <c r="A26" s="41" t="s">
        <v>24</v>
      </c>
      <c r="B26" s="40">
        <f>[1]Invoer!U24</f>
        <v>582.1</v>
      </c>
      <c r="C26" s="40">
        <f>[1]Invoer!W24</f>
        <v>-87.6</v>
      </c>
      <c r="D26" s="40">
        <f>[1]Invoer!Y24</f>
        <v>0</v>
      </c>
      <c r="E26" s="39">
        <f>B26+C26+D26</f>
        <v>494.5</v>
      </c>
      <c r="F26" s="38">
        <v>421.4</v>
      </c>
      <c r="G26" s="38">
        <v>294.8</v>
      </c>
      <c r="H26" s="38">
        <v>295.58999999999997</v>
      </c>
      <c r="I26" s="38">
        <v>295.60000000000002</v>
      </c>
      <c r="J26" s="38">
        <v>283.05</v>
      </c>
      <c r="K26" s="38">
        <v>258.10000000000002</v>
      </c>
      <c r="L26" s="38">
        <v>300.60000000000002</v>
      </c>
      <c r="M26" s="36">
        <v>414.34222706031233</v>
      </c>
      <c r="N26" s="36">
        <v>517.24</v>
      </c>
      <c r="O26" s="36">
        <v>227.99999999999997</v>
      </c>
      <c r="P26" s="36">
        <v>266.04999999999995</v>
      </c>
      <c r="Q26" s="36">
        <v>209.85</v>
      </c>
      <c r="R26" s="36">
        <v>216.49999999999997</v>
      </c>
      <c r="S26" s="36">
        <v>303.3</v>
      </c>
      <c r="T26" s="36">
        <v>328.2</v>
      </c>
      <c r="U26" s="36">
        <v>581.20000000000005</v>
      </c>
      <c r="V26" s="36">
        <v>684.03</v>
      </c>
      <c r="W26" s="36">
        <v>201</v>
      </c>
      <c r="X26" s="36"/>
      <c r="Y26" s="36">
        <f>W26+X26</f>
        <v>201</v>
      </c>
      <c r="Z26" s="36">
        <f>150+300+130+100+45+100+152.81</f>
        <v>977.81</v>
      </c>
      <c r="AA26" s="36">
        <v>203</v>
      </c>
      <c r="AB26" s="36">
        <v>724.6</v>
      </c>
      <c r="AC26" s="36">
        <v>203</v>
      </c>
      <c r="AD26" s="35"/>
      <c r="AE26" s="62"/>
      <c r="AF26" s="34">
        <v>-46.23</v>
      </c>
      <c r="AG26" s="33"/>
      <c r="AI26" s="61"/>
      <c r="AJ26" s="23">
        <f>H26</f>
        <v>295.58999999999997</v>
      </c>
      <c r="AK26" s="22">
        <f>(E26/H26)-1</f>
        <v>0.67292533576913982</v>
      </c>
    </row>
    <row r="27" spans="1:37" s="1" customFormat="1" ht="14.25" customHeight="1" x14ac:dyDescent="0.25">
      <c r="A27" s="41" t="s">
        <v>23</v>
      </c>
      <c r="B27" s="40">
        <f>[1]Invoer!U25</f>
        <v>707.1</v>
      </c>
      <c r="C27" s="40">
        <f>[1]Invoer!W25</f>
        <v>-202.5</v>
      </c>
      <c r="D27" s="40">
        <f>[1]Invoer!Y25</f>
        <v>0</v>
      </c>
      <c r="E27" s="39">
        <f>B27+C27+D27</f>
        <v>504.6</v>
      </c>
      <c r="F27" s="38">
        <v>762.1</v>
      </c>
      <c r="G27" s="38">
        <v>403.15</v>
      </c>
      <c r="H27" s="38">
        <v>504.95</v>
      </c>
      <c r="I27" s="38">
        <v>483.25</v>
      </c>
      <c r="J27" s="38">
        <v>771.95</v>
      </c>
      <c r="K27" s="38">
        <v>764.45</v>
      </c>
      <c r="L27" s="38">
        <v>480</v>
      </c>
      <c r="M27" s="36">
        <v>972.41264310837869</v>
      </c>
      <c r="N27" s="36">
        <v>852.98</v>
      </c>
      <c r="O27" s="36">
        <v>644.57999999999993</v>
      </c>
      <c r="P27" s="36">
        <v>973.34999999999991</v>
      </c>
      <c r="Q27" s="36">
        <v>993.78000000000009</v>
      </c>
      <c r="R27" s="36">
        <v>877.40000000000009</v>
      </c>
      <c r="S27" s="36">
        <v>761.4</v>
      </c>
      <c r="T27" s="36">
        <v>1218.5999999999999</v>
      </c>
      <c r="U27" s="36">
        <v>1189.33</v>
      </c>
      <c r="V27" s="36"/>
      <c r="W27" s="36"/>
      <c r="X27" s="36"/>
      <c r="Y27" s="36"/>
      <c r="Z27" s="36"/>
      <c r="AA27" s="36"/>
      <c r="AB27" s="36"/>
      <c r="AC27" s="36"/>
      <c r="AD27" s="69"/>
      <c r="AE27" s="62"/>
      <c r="AF27" s="71"/>
      <c r="AG27" s="70"/>
      <c r="AI27" s="61"/>
      <c r="AJ27" s="23">
        <f>H27</f>
        <v>504.95</v>
      </c>
      <c r="AK27" s="22">
        <f>(E27/H27)-1</f>
        <v>-6.9313793444891747E-4</v>
      </c>
    </row>
    <row r="28" spans="1:37" s="1" customFormat="1" ht="14.25" customHeight="1" x14ac:dyDescent="0.25">
      <c r="A28" s="41" t="s">
        <v>22</v>
      </c>
      <c r="B28" s="40">
        <f>[1]Invoer!U26</f>
        <v>269.39999999999998</v>
      </c>
      <c r="C28" s="40">
        <f>[1]Invoer!W26</f>
        <v>-182.7</v>
      </c>
      <c r="D28" s="40">
        <f>[1]Invoer!Y26</f>
        <v>0</v>
      </c>
      <c r="E28" s="39">
        <f>B28+C28+D28</f>
        <v>86.699999999999989</v>
      </c>
      <c r="F28" s="38">
        <v>566.9</v>
      </c>
      <c r="G28" s="38">
        <v>713.1</v>
      </c>
      <c r="H28" s="38">
        <v>487</v>
      </c>
      <c r="I28" s="38">
        <v>520.9</v>
      </c>
      <c r="J28" s="38">
        <v>687</v>
      </c>
      <c r="K28" s="38">
        <v>597.29999999999995</v>
      </c>
      <c r="L28" s="38">
        <v>985</v>
      </c>
      <c r="M28" s="36">
        <v>772.37110904634278</v>
      </c>
      <c r="N28" s="36">
        <v>1500.6999999999998</v>
      </c>
      <c r="O28" s="36">
        <v>897.7</v>
      </c>
      <c r="P28" s="36">
        <v>905.3</v>
      </c>
      <c r="Q28" s="36">
        <v>1040.5</v>
      </c>
      <c r="R28" s="36">
        <v>835.8</v>
      </c>
      <c r="S28" s="36">
        <v>1107.7</v>
      </c>
      <c r="T28" s="36">
        <v>863.75</v>
      </c>
      <c r="U28" s="36">
        <v>1484.5</v>
      </c>
      <c r="V28" s="36">
        <f>1981.77-320+5</f>
        <v>1666.77</v>
      </c>
      <c r="W28" s="36">
        <f>244+275</f>
        <v>519</v>
      </c>
      <c r="X28" s="36"/>
      <c r="Y28" s="36">
        <f>W28+X28</f>
        <v>519</v>
      </c>
      <c r="Z28" s="36">
        <f>285+200+150+35+180+80+275+57+103.73+77.2+26.74+66.35+22+145.45</f>
        <v>1703.47</v>
      </c>
      <c r="AA28" s="36">
        <v>344</v>
      </c>
      <c r="AB28" s="36">
        <v>1569.48</v>
      </c>
      <c r="AC28" s="36">
        <v>484</v>
      </c>
      <c r="AD28" s="69"/>
      <c r="AE28" s="65"/>
      <c r="AF28" s="68">
        <v>407.26</v>
      </c>
      <c r="AG28" s="67"/>
      <c r="AI28" s="61"/>
      <c r="AJ28" s="23">
        <f>H28</f>
        <v>487</v>
      </c>
      <c r="AK28" s="22">
        <f>(E28/H28)-1</f>
        <v>-0.82197125256673509</v>
      </c>
    </row>
    <row r="29" spans="1:37" s="1" customFormat="1" ht="13.95" customHeight="1" x14ac:dyDescent="0.25">
      <c r="A29" s="41" t="s">
        <v>21</v>
      </c>
      <c r="B29" s="40">
        <f>[1]Invoer!U27</f>
        <v>144.30000000000001</v>
      </c>
      <c r="C29" s="40">
        <f>[1]Invoer!W27</f>
        <v>-60.4</v>
      </c>
      <c r="D29" s="40">
        <f>[1]Invoer!Y27</f>
        <v>0</v>
      </c>
      <c r="E29" s="39">
        <f>B29+C29+D29</f>
        <v>83.9</v>
      </c>
      <c r="F29" s="38">
        <v>300.39999999999998</v>
      </c>
      <c r="G29" s="38">
        <v>439.6</v>
      </c>
      <c r="H29" s="38">
        <v>158.6</v>
      </c>
      <c r="I29" s="38">
        <v>122.5</v>
      </c>
      <c r="J29" s="38">
        <v>127.5</v>
      </c>
      <c r="K29" s="38">
        <v>156.19999999999999</v>
      </c>
      <c r="L29" s="38">
        <v>177.2</v>
      </c>
      <c r="M29" s="36">
        <v>119.44628790067856</v>
      </c>
      <c r="N29" s="36">
        <v>105.3</v>
      </c>
      <c r="O29" s="36">
        <v>127.6</v>
      </c>
      <c r="P29" s="36">
        <v>110.4</v>
      </c>
      <c r="Q29" s="36">
        <v>92.5</v>
      </c>
      <c r="R29" s="36">
        <v>64.400000000000006</v>
      </c>
      <c r="S29" s="36">
        <v>119.8</v>
      </c>
      <c r="T29" s="36">
        <v>61.25</v>
      </c>
      <c r="U29" s="36"/>
      <c r="V29" s="36">
        <v>320</v>
      </c>
      <c r="W29" s="36"/>
      <c r="X29" s="36"/>
      <c r="Y29" s="36"/>
      <c r="Z29" s="36"/>
      <c r="AA29" s="36"/>
      <c r="AB29" s="36"/>
      <c r="AC29" s="36"/>
      <c r="AD29" s="66"/>
      <c r="AE29" s="65"/>
      <c r="AF29" s="64"/>
      <c r="AG29" s="63"/>
      <c r="AI29" s="61"/>
      <c r="AJ29" s="23">
        <f>H29</f>
        <v>158.6</v>
      </c>
      <c r="AK29" s="22">
        <f>(E29/H29)-1</f>
        <v>-0.4709962168978562</v>
      </c>
    </row>
    <row r="30" spans="1:37" s="1" customFormat="1" ht="14.25" customHeight="1" x14ac:dyDescent="0.25">
      <c r="A30" s="41" t="s">
        <v>20</v>
      </c>
      <c r="B30" s="40">
        <f>[1]Invoer!U28</f>
        <v>130.35</v>
      </c>
      <c r="C30" s="40">
        <f>[1]Invoer!W28</f>
        <v>-40</v>
      </c>
      <c r="D30" s="40">
        <f>[1]Invoer!Y28</f>
        <v>0</v>
      </c>
      <c r="E30" s="39">
        <f>B30+C30+D30</f>
        <v>90.35</v>
      </c>
      <c r="F30" s="38">
        <v>71.05</v>
      </c>
      <c r="G30" s="38">
        <v>152.25</v>
      </c>
      <c r="H30" s="38">
        <v>96.95</v>
      </c>
      <c r="I30" s="38">
        <v>85.1</v>
      </c>
      <c r="J30" s="38">
        <v>92.5</v>
      </c>
      <c r="K30" s="38">
        <v>110.25</v>
      </c>
      <c r="L30" s="38">
        <v>69.900000000000006</v>
      </c>
      <c r="M30" s="36">
        <v>62.56464301372047</v>
      </c>
      <c r="N30" s="36">
        <v>112.98999999999998</v>
      </c>
      <c r="O30" s="36">
        <v>94.13</v>
      </c>
      <c r="P30" s="36">
        <v>70.849999999999994</v>
      </c>
      <c r="Q30" s="36">
        <v>92.399999999999991</v>
      </c>
      <c r="R30" s="36">
        <v>99.910000000000011</v>
      </c>
      <c r="S30" s="36">
        <v>136.07</v>
      </c>
      <c r="T30" s="36">
        <v>107.72</v>
      </c>
      <c r="U30" s="36">
        <v>92.55</v>
      </c>
      <c r="V30" s="36">
        <v>882.9</v>
      </c>
      <c r="W30" s="36">
        <v>114.5</v>
      </c>
      <c r="X30" s="36">
        <v>417</v>
      </c>
      <c r="Y30" s="36">
        <f>W30+X30</f>
        <v>531.5</v>
      </c>
      <c r="Z30" s="36">
        <f>550+382.05</f>
        <v>932.05</v>
      </c>
      <c r="AA30" s="36">
        <f>114.5+450</f>
        <v>564.5</v>
      </c>
      <c r="AB30" s="36">
        <v>959.8</v>
      </c>
      <c r="AC30" s="36">
        <v>564.5</v>
      </c>
      <c r="AD30" s="35"/>
      <c r="AE30" s="62"/>
      <c r="AF30" s="34">
        <v>-50.55</v>
      </c>
      <c r="AG30" s="33"/>
      <c r="AI30" s="61"/>
      <c r="AJ30" s="23">
        <f>H30</f>
        <v>96.95</v>
      </c>
      <c r="AK30" s="22">
        <f>(E30/H30)-1</f>
        <v>-6.8076328004125886E-2</v>
      </c>
    </row>
    <row r="31" spans="1:37" s="1" customFormat="1" ht="14.25" customHeight="1" x14ac:dyDescent="0.25">
      <c r="A31" s="41" t="s">
        <v>19</v>
      </c>
      <c r="B31" s="40">
        <f>[1]Invoer!U31</f>
        <v>4608</v>
      </c>
      <c r="C31" s="40">
        <f>[1]Invoer!W31</f>
        <v>0</v>
      </c>
      <c r="D31" s="40">
        <f>[1]Invoer!Y31</f>
        <v>0</v>
      </c>
      <c r="E31" s="39">
        <f>B31+C31+D31</f>
        <v>4608</v>
      </c>
      <c r="F31" s="38"/>
      <c r="G31" s="38"/>
      <c r="H31" s="38"/>
      <c r="I31" s="38"/>
      <c r="J31" s="38"/>
      <c r="K31" s="38"/>
      <c r="L31" s="38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5"/>
      <c r="AE31" s="62"/>
      <c r="AF31" s="34"/>
      <c r="AG31" s="33"/>
      <c r="AI31" s="61"/>
      <c r="AJ31" s="23"/>
      <c r="AK31" s="22"/>
    </row>
    <row r="32" spans="1:37" s="1" customFormat="1" ht="14.25" customHeight="1" x14ac:dyDescent="0.25">
      <c r="A32" s="41" t="s">
        <v>18</v>
      </c>
      <c r="B32" s="40">
        <f>[1]Invoer!U29</f>
        <v>0</v>
      </c>
      <c r="C32" s="40">
        <f>[1]Invoer!W29</f>
        <v>0</v>
      </c>
      <c r="D32" s="40">
        <f>[1]Invoer!Y29</f>
        <v>0</v>
      </c>
      <c r="E32" s="39">
        <f>B32+C32+D32</f>
        <v>0</v>
      </c>
      <c r="F32" s="38" t="s">
        <v>2</v>
      </c>
      <c r="G32" s="38">
        <v>104.75</v>
      </c>
      <c r="H32" s="38">
        <v>118.25</v>
      </c>
      <c r="I32" s="38">
        <v>153.80000000000001</v>
      </c>
      <c r="J32" s="38">
        <v>133.69999999999999</v>
      </c>
      <c r="K32" s="38">
        <v>182.6</v>
      </c>
      <c r="L32" s="38">
        <v>127.45</v>
      </c>
      <c r="M32" s="36">
        <v>107.04701926046971</v>
      </c>
      <c r="N32" s="36">
        <v>115.45</v>
      </c>
      <c r="O32" s="36">
        <v>90.1</v>
      </c>
      <c r="P32" s="36">
        <v>73.699999999999989</v>
      </c>
      <c r="Q32" s="36">
        <v>84.4</v>
      </c>
      <c r="R32" s="36">
        <v>101.85</v>
      </c>
      <c r="S32" s="36">
        <v>124.9</v>
      </c>
      <c r="T32" s="36">
        <v>106.2</v>
      </c>
      <c r="U32" s="36">
        <v>56.25</v>
      </c>
      <c r="V32" s="36">
        <v>882.9</v>
      </c>
      <c r="W32" s="36">
        <v>114.5</v>
      </c>
      <c r="X32" s="36">
        <v>417</v>
      </c>
      <c r="Y32" s="36">
        <f>W32+X32</f>
        <v>531.5</v>
      </c>
      <c r="Z32" s="36">
        <f>550+382.05</f>
        <v>932.05</v>
      </c>
      <c r="AA32" s="36">
        <f>114.5+450</f>
        <v>564.5</v>
      </c>
      <c r="AB32" s="36">
        <v>959.8</v>
      </c>
      <c r="AC32" s="36">
        <v>564.5</v>
      </c>
      <c r="AD32" s="35"/>
      <c r="AE32" s="62"/>
      <c r="AF32" s="34">
        <v>-50.55</v>
      </c>
      <c r="AG32" s="33"/>
      <c r="AI32" s="61"/>
      <c r="AJ32" s="23">
        <f>H32</f>
        <v>118.25</v>
      </c>
      <c r="AK32" s="22">
        <f>(E32/H32)-1</f>
        <v>-1</v>
      </c>
    </row>
    <row r="33" spans="1:40" s="1" customFormat="1" ht="14.25" customHeight="1" x14ac:dyDescent="0.25">
      <c r="A33" s="41" t="s">
        <v>17</v>
      </c>
      <c r="B33" s="40">
        <f>[1]Invoer!U30</f>
        <v>228.8</v>
      </c>
      <c r="C33" s="40">
        <f>[1]Invoer!W30</f>
        <v>-38.4</v>
      </c>
      <c r="D33" s="40">
        <f>[1]Invoer!Y30</f>
        <v>0</v>
      </c>
      <c r="E33" s="39">
        <f>B33+C33+D33</f>
        <v>190.4</v>
      </c>
      <c r="F33" s="38">
        <v>232.05</v>
      </c>
      <c r="G33" s="38">
        <v>316.60000000000002</v>
      </c>
      <c r="H33" s="38">
        <v>0</v>
      </c>
      <c r="I33" s="38">
        <v>0</v>
      </c>
      <c r="J33" s="38">
        <v>32.5</v>
      </c>
      <c r="K33" s="38">
        <v>0</v>
      </c>
      <c r="L33" s="38">
        <f>[1]Invoer!AB24</f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21</v>
      </c>
      <c r="S33" s="36">
        <v>20</v>
      </c>
      <c r="T33" s="36"/>
      <c r="U33" s="36"/>
      <c r="V33" s="36">
        <v>543.6</v>
      </c>
      <c r="W33" s="36">
        <v>152</v>
      </c>
      <c r="X33" s="36"/>
      <c r="Y33" s="36">
        <f>W33+X33</f>
        <v>152</v>
      </c>
      <c r="Z33" s="36">
        <f>325+40+130+60+50+29.79</f>
        <v>634.79</v>
      </c>
      <c r="AA33" s="36">
        <v>152</v>
      </c>
      <c r="AB33" s="36">
        <v>560.46</v>
      </c>
      <c r="AC33" s="36">
        <v>152</v>
      </c>
      <c r="AD33" s="35"/>
      <c r="AE33" s="62"/>
      <c r="AF33" s="34">
        <v>-253</v>
      </c>
      <c r="AG33" s="33"/>
      <c r="AI33" s="61"/>
      <c r="AJ33" s="23">
        <f>H33</f>
        <v>0</v>
      </c>
      <c r="AK33" s="22" t="e">
        <f>(E33/H33)-1</f>
        <v>#DIV/0!</v>
      </c>
    </row>
    <row r="34" spans="1:40" s="1" customFormat="1" ht="14.25" customHeight="1" x14ac:dyDescent="0.25">
      <c r="A34" s="41" t="s">
        <v>16</v>
      </c>
      <c r="B34" s="40">
        <f>[1]Invoer!U32</f>
        <v>45.720000000000027</v>
      </c>
      <c r="C34" s="40">
        <f>[1]Invoer!W32</f>
        <v>-32.1</v>
      </c>
      <c r="D34" s="40">
        <f>[1]Invoer!Y32</f>
        <v>0</v>
      </c>
      <c r="E34" s="39">
        <f>B34+C34+D34</f>
        <v>13.620000000000026</v>
      </c>
      <c r="F34" s="38">
        <v>551.4</v>
      </c>
      <c r="G34" s="38">
        <v>334</v>
      </c>
      <c r="H34" s="38">
        <v>191.1</v>
      </c>
      <c r="I34" s="38">
        <v>110.95</v>
      </c>
      <c r="J34" s="38">
        <v>121.2</v>
      </c>
      <c r="K34" s="38">
        <v>128.85</v>
      </c>
      <c r="L34" s="38">
        <v>95.85</v>
      </c>
      <c r="M34" s="36">
        <v>173.74475182092647</v>
      </c>
      <c r="N34" s="36">
        <v>218.95000000000002</v>
      </c>
      <c r="O34" s="36">
        <v>88.04000000000002</v>
      </c>
      <c r="P34" s="36">
        <v>289.5</v>
      </c>
      <c r="Q34" s="36">
        <v>118.7</v>
      </c>
      <c r="R34" s="36">
        <v>188.64</v>
      </c>
      <c r="S34" s="36">
        <v>148.75</v>
      </c>
      <c r="T34" s="36">
        <v>247.3</v>
      </c>
      <c r="U34" s="36">
        <v>324.23</v>
      </c>
      <c r="V34" s="36">
        <v>1536</v>
      </c>
      <c r="W34" s="36">
        <v>214</v>
      </c>
      <c r="X34" s="36"/>
      <c r="Y34" s="36"/>
      <c r="Z34" s="36">
        <f>1058+214</f>
        <v>1272</v>
      </c>
      <c r="AA34" s="36">
        <v>214</v>
      </c>
      <c r="AB34" s="36">
        <v>1353</v>
      </c>
      <c r="AC34" s="36">
        <v>214</v>
      </c>
      <c r="AD34" s="35"/>
      <c r="AF34" s="34">
        <v>-620.75</v>
      </c>
      <c r="AG34" s="33"/>
      <c r="AI34" s="61"/>
      <c r="AJ34" s="23">
        <f>H34</f>
        <v>191.1</v>
      </c>
      <c r="AK34" s="22">
        <f>(E34/H34)-1</f>
        <v>-0.92872841444270005</v>
      </c>
    </row>
    <row r="35" spans="1:40" s="1" customFormat="1" ht="14.25" customHeight="1" x14ac:dyDescent="0.25">
      <c r="A35" s="41" t="s">
        <v>15</v>
      </c>
      <c r="B35" s="40">
        <f>[1]Invoer!U33</f>
        <v>761.05</v>
      </c>
      <c r="C35" s="40">
        <f>[1]Invoer!W33</f>
        <v>-117</v>
      </c>
      <c r="D35" s="40">
        <f>[1]Invoer!Y33</f>
        <v>0</v>
      </c>
      <c r="E35" s="39">
        <f>B35+C35+D35</f>
        <v>644.04999999999995</v>
      </c>
      <c r="F35" s="38">
        <v>904.6</v>
      </c>
      <c r="G35" s="38">
        <v>978.9</v>
      </c>
      <c r="H35" s="38">
        <v>870.1</v>
      </c>
      <c r="I35" s="38">
        <v>566.22</v>
      </c>
      <c r="J35" s="38">
        <v>635.4</v>
      </c>
      <c r="K35" s="38">
        <v>777.9</v>
      </c>
      <c r="L35" s="38">
        <v>503.2</v>
      </c>
      <c r="M35" s="36">
        <v>732.75544574087553</v>
      </c>
      <c r="N35" s="36">
        <v>543.25</v>
      </c>
      <c r="O35" s="36">
        <v>626.5</v>
      </c>
      <c r="P35" s="36">
        <v>600.66</v>
      </c>
      <c r="Q35" s="36">
        <v>724.77</v>
      </c>
      <c r="R35" s="36">
        <v>662.80000000000007</v>
      </c>
      <c r="S35" s="36">
        <v>760.85</v>
      </c>
      <c r="T35" s="36">
        <v>608.63</v>
      </c>
      <c r="U35" s="36">
        <v>680.85</v>
      </c>
      <c r="V35" s="36"/>
      <c r="W35" s="36"/>
      <c r="X35" s="36"/>
      <c r="Y35" s="36"/>
      <c r="Z35" s="36"/>
      <c r="AA35" s="36"/>
      <c r="AB35" s="36"/>
      <c r="AC35" s="36"/>
      <c r="AD35" s="35"/>
      <c r="AF35" s="34"/>
      <c r="AG35" s="33"/>
      <c r="AI35" s="61"/>
      <c r="AJ35" s="23">
        <f>H35</f>
        <v>870.1</v>
      </c>
      <c r="AK35" s="22">
        <f>(E35/H35)-1</f>
        <v>-0.25979772439949433</v>
      </c>
    </row>
    <row r="36" spans="1:40" s="1" customFormat="1" ht="14.25" customHeight="1" x14ac:dyDescent="0.25">
      <c r="A36" s="41" t="s">
        <v>14</v>
      </c>
      <c r="B36" s="40">
        <f>[1]Invoer!U21</f>
        <v>0</v>
      </c>
      <c r="C36" s="40">
        <v>0</v>
      </c>
      <c r="D36" s="40">
        <f>[1]Invoer!Y34</f>
        <v>0</v>
      </c>
      <c r="E36" s="39">
        <f>B36+C36+D36</f>
        <v>0</v>
      </c>
      <c r="F36" s="38" t="s">
        <v>2</v>
      </c>
      <c r="G36" s="38" t="s">
        <v>2</v>
      </c>
      <c r="H36" s="38">
        <v>315.55</v>
      </c>
      <c r="I36" s="38">
        <f>C36+D36+E36</f>
        <v>0</v>
      </c>
      <c r="J36" s="38">
        <v>260</v>
      </c>
      <c r="K36" s="38">
        <v>0</v>
      </c>
      <c r="L36" s="38">
        <f>[1]Invoer!AB15</f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96.800000000000011</v>
      </c>
      <c r="S36" s="36"/>
      <c r="T36" s="36"/>
      <c r="U36" s="36"/>
      <c r="V36" s="36">
        <v>200</v>
      </c>
      <c r="W36" s="36"/>
      <c r="X36" s="36"/>
      <c r="Y36" s="36" t="s">
        <v>12</v>
      </c>
      <c r="Z36" s="36"/>
      <c r="AA36" s="36"/>
      <c r="AB36" s="36">
        <v>100</v>
      </c>
      <c r="AC36" s="36"/>
      <c r="AD36" s="35"/>
      <c r="AF36" s="34">
        <v>-10</v>
      </c>
      <c r="AG36" s="33"/>
      <c r="AI36" s="61"/>
      <c r="AJ36" s="23">
        <f>H36</f>
        <v>315.55</v>
      </c>
      <c r="AK36" s="22">
        <f>(E36/H36)-1</f>
        <v>-1</v>
      </c>
    </row>
    <row r="37" spans="1:40" s="1" customFormat="1" ht="14.25" customHeight="1" x14ac:dyDescent="0.25">
      <c r="A37" s="41" t="s">
        <v>13</v>
      </c>
      <c r="B37" s="40">
        <f>[1]Invoer!U35</f>
        <v>478</v>
      </c>
      <c r="C37" s="40">
        <f>[1]Invoer!W35</f>
        <v>-31.1</v>
      </c>
      <c r="D37" s="40">
        <f>[1]Invoer!Y35</f>
        <v>0</v>
      </c>
      <c r="E37" s="39">
        <f>B37+C37+D37</f>
        <v>446.9</v>
      </c>
      <c r="F37" s="38">
        <v>481.15</v>
      </c>
      <c r="G37" s="38">
        <v>354</v>
      </c>
      <c r="H37" s="38">
        <v>315.55</v>
      </c>
      <c r="I37" s="38">
        <v>231.3</v>
      </c>
      <c r="J37" s="38">
        <v>288.05</v>
      </c>
      <c r="K37" s="38">
        <v>265.10000000000002</v>
      </c>
      <c r="L37" s="38">
        <v>271.02</v>
      </c>
      <c r="M37" s="36">
        <v>161.83112120245914</v>
      </c>
      <c r="N37" s="36">
        <v>178.4</v>
      </c>
      <c r="O37" s="36">
        <v>178.1</v>
      </c>
      <c r="P37" s="36">
        <v>181.39999999999998</v>
      </c>
      <c r="Q37" s="36">
        <v>218.69</v>
      </c>
      <c r="R37" s="36">
        <v>217.29999999999998</v>
      </c>
      <c r="S37" s="36">
        <v>190.6</v>
      </c>
      <c r="T37" s="36">
        <v>202.09</v>
      </c>
      <c r="U37" s="36">
        <v>185.5</v>
      </c>
      <c r="V37" s="36">
        <v>200</v>
      </c>
      <c r="W37" s="36"/>
      <c r="X37" s="36"/>
      <c r="Y37" s="36" t="s">
        <v>12</v>
      </c>
      <c r="Z37" s="36"/>
      <c r="AA37" s="36"/>
      <c r="AB37" s="36">
        <v>100</v>
      </c>
      <c r="AC37" s="36"/>
      <c r="AD37" s="35"/>
      <c r="AF37" s="34">
        <v>-10</v>
      </c>
      <c r="AG37" s="33"/>
      <c r="AI37" s="61"/>
      <c r="AJ37" s="23">
        <f>H37</f>
        <v>315.55</v>
      </c>
      <c r="AK37" s="22">
        <f>(E37/H37)-1</f>
        <v>0.41625732847409269</v>
      </c>
    </row>
    <row r="38" spans="1:40" s="1" customFormat="1" ht="14.25" customHeight="1" x14ac:dyDescent="0.25">
      <c r="A38" s="41" t="s">
        <v>11</v>
      </c>
      <c r="B38" s="40">
        <f>[1]Invoer!U36</f>
        <v>1601.24</v>
      </c>
      <c r="C38" s="40">
        <f>[1]Invoer!W36</f>
        <v>0</v>
      </c>
      <c r="D38" s="40">
        <v>0</v>
      </c>
      <c r="E38" s="39">
        <f>B38+C38+D38</f>
        <v>1601.24</v>
      </c>
      <c r="F38" s="38">
        <v>85.8</v>
      </c>
      <c r="G38" s="38"/>
      <c r="H38" s="38">
        <v>315.55</v>
      </c>
      <c r="I38" s="38">
        <v>172</v>
      </c>
      <c r="J38" s="38">
        <v>292.2</v>
      </c>
      <c r="K38" s="38">
        <v>189.5</v>
      </c>
      <c r="L38" s="38">
        <v>149</v>
      </c>
      <c r="M38" s="36">
        <v>105.3937834417752</v>
      </c>
      <c r="N38" s="36">
        <v>86.5</v>
      </c>
      <c r="O38" s="36">
        <v>50</v>
      </c>
      <c r="P38" s="36">
        <v>50</v>
      </c>
      <c r="Q38" s="36">
        <v>40</v>
      </c>
      <c r="R38" s="36">
        <v>25</v>
      </c>
      <c r="S38" s="36">
        <v>25</v>
      </c>
      <c r="T38" s="36">
        <v>78.650000000000006</v>
      </c>
      <c r="U38" s="36">
        <v>13</v>
      </c>
      <c r="V38" s="36">
        <v>8.6300000000000008</v>
      </c>
      <c r="W38" s="36"/>
      <c r="X38" s="36"/>
      <c r="Y38" s="36"/>
      <c r="Z38" s="36"/>
      <c r="AA38" s="36"/>
      <c r="AB38" s="36"/>
      <c r="AC38" s="36"/>
      <c r="AD38" s="35"/>
      <c r="AF38" s="34"/>
      <c r="AG38" s="33"/>
      <c r="AI38" s="61"/>
      <c r="AJ38" s="23">
        <f>H38</f>
        <v>315.55</v>
      </c>
      <c r="AK38" s="22">
        <f>(E38/H38)-1</f>
        <v>4.0744414514340042</v>
      </c>
    </row>
    <row r="39" spans="1:40" s="1" customFormat="1" ht="14.25" customHeight="1" x14ac:dyDescent="0.25">
      <c r="A39" s="41" t="s">
        <v>10</v>
      </c>
      <c r="B39" s="40"/>
      <c r="C39" s="40">
        <f>[1]Invoer!W38</f>
        <v>0</v>
      </c>
      <c r="D39" s="40">
        <f>[1]Invoer!Y38</f>
        <v>0</v>
      </c>
      <c r="E39" s="39">
        <f>B39+C39+D39</f>
        <v>0</v>
      </c>
      <c r="F39" s="38">
        <v>-100</v>
      </c>
      <c r="G39" s="38"/>
      <c r="H39" s="38">
        <f>C39+D39+E39</f>
        <v>0</v>
      </c>
      <c r="I39" s="38">
        <v>-104.4</v>
      </c>
      <c r="J39" s="38">
        <v>0</v>
      </c>
      <c r="K39" s="38">
        <v>-60</v>
      </c>
      <c r="L39" s="38">
        <f>[1]Invoer!AB38</f>
        <v>0</v>
      </c>
      <c r="M39" s="36">
        <v>0</v>
      </c>
      <c r="N39" s="36">
        <v>0</v>
      </c>
      <c r="O39" s="36">
        <v>-61.57</v>
      </c>
      <c r="P39" s="36"/>
      <c r="Q39" s="36"/>
      <c r="R39" s="36"/>
      <c r="S39" s="36"/>
      <c r="T39" s="36"/>
      <c r="U39" s="36"/>
      <c r="V39" s="36">
        <v>8.6300000000000008</v>
      </c>
      <c r="W39" s="36"/>
      <c r="X39" s="36"/>
      <c r="Y39" s="36"/>
      <c r="Z39" s="36"/>
      <c r="AA39" s="36"/>
      <c r="AB39" s="36"/>
      <c r="AC39" s="36"/>
      <c r="AD39" s="35"/>
      <c r="AF39" s="34"/>
      <c r="AG39" s="33"/>
      <c r="AI39" s="61"/>
      <c r="AJ39" s="23">
        <f>H39</f>
        <v>0</v>
      </c>
      <c r="AK39" s="22" t="e">
        <f>(E39/H39)-1</f>
        <v>#DIV/0!</v>
      </c>
    </row>
    <row r="40" spans="1:40" s="4" customFormat="1" ht="13.8" thickBot="1" x14ac:dyDescent="0.3">
      <c r="A40" s="60" t="s">
        <v>9</v>
      </c>
      <c r="B40" s="49">
        <f>SUM(B7:B39)</f>
        <v>24495.98</v>
      </c>
      <c r="C40" s="49">
        <f>SUM(C7:C39)</f>
        <v>-2695.2</v>
      </c>
      <c r="D40" s="49">
        <f>SUM(D7:D39)</f>
        <v>0</v>
      </c>
      <c r="E40" s="59">
        <f>SUM(E7:E39)</f>
        <v>21800.780000000002</v>
      </c>
      <c r="F40" s="58">
        <f>SUM(F7:F39)</f>
        <v>18174.059999999998</v>
      </c>
      <c r="G40" s="58">
        <f>SUM(G7:G39)</f>
        <v>16605.349999999999</v>
      </c>
      <c r="H40" s="58">
        <f>SUM(H7:H39)</f>
        <v>13738.2</v>
      </c>
      <c r="I40" s="58">
        <f>SUM(I7:I39)</f>
        <v>11808.690000000002</v>
      </c>
      <c r="J40" s="58">
        <f>SUM(J7:J39)</f>
        <v>12908.550000000001</v>
      </c>
      <c r="K40" s="58">
        <f>SUM(K7:K39)</f>
        <v>13956.650000000005</v>
      </c>
      <c r="L40" s="58">
        <f>SUM(L7:L39)</f>
        <v>11178.220000000001</v>
      </c>
      <c r="M40" s="36">
        <v>12444.030000000004</v>
      </c>
      <c r="N40" s="36">
        <v>13365.139999999998</v>
      </c>
      <c r="O40" s="36">
        <v>11585.839999999998</v>
      </c>
      <c r="P40" s="36">
        <f>SUM(P7:P38)</f>
        <v>10848.98</v>
      </c>
      <c r="Q40" s="36">
        <v>10634.15</v>
      </c>
      <c r="R40" s="36">
        <v>9955.5899999999983</v>
      </c>
      <c r="S40" s="36">
        <v>10513.35</v>
      </c>
      <c r="T40" s="36">
        <f>SUM(T7:T38)</f>
        <v>8540.7999999999993</v>
      </c>
      <c r="U40" s="36">
        <f>SUM(U7:U38)</f>
        <v>9421.74</v>
      </c>
      <c r="V40" s="57">
        <f>SUM(V7:V39)</f>
        <v>12369.859999999999</v>
      </c>
      <c r="W40" s="57">
        <f>SUM(W7:W39)</f>
        <v>1996</v>
      </c>
      <c r="X40" s="57">
        <f>SUM(X7:X39)</f>
        <v>1215.79</v>
      </c>
      <c r="Y40" s="57">
        <f>SUM(Y7:Y39)</f>
        <v>2997.79</v>
      </c>
      <c r="Z40" s="57"/>
      <c r="AA40" s="57"/>
      <c r="AB40" s="57">
        <f>SUM(AB7:AB38)</f>
        <v>11643.739999999998</v>
      </c>
      <c r="AC40" s="57">
        <f>SUM(AC7:AC38)</f>
        <v>3323.9</v>
      </c>
      <c r="AD40" s="56"/>
      <c r="AF40" s="55">
        <v>1073.27</v>
      </c>
      <c r="AG40" s="54"/>
      <c r="AI40" s="53"/>
      <c r="AJ40" s="23">
        <f>H40</f>
        <v>13738.2</v>
      </c>
      <c r="AK40" s="22">
        <f>(E40/H40)-1</f>
        <v>0.58687309836805412</v>
      </c>
      <c r="AL40" s="1"/>
      <c r="AM40" s="1"/>
      <c r="AN40" s="1"/>
    </row>
    <row r="41" spans="1:40" s="1" customFormat="1" ht="9.75" hidden="1" customHeight="1" thickTop="1" thickBot="1" x14ac:dyDescent="0.25">
      <c r="A41" s="41"/>
      <c r="B41" s="52"/>
      <c r="C41" s="52"/>
      <c r="D41" s="52"/>
      <c r="E41" s="51">
        <f>SUM(E8:E39)</f>
        <v>21666.38</v>
      </c>
      <c r="F41" s="50"/>
      <c r="G41" s="50"/>
      <c r="H41" s="49">
        <f>SUM(H8:H39)</f>
        <v>13665.2</v>
      </c>
      <c r="I41" s="49">
        <f>SUM(I8:I39)</f>
        <v>11702.140000000001</v>
      </c>
      <c r="J41" s="49">
        <f>SUM(J8:J39)</f>
        <v>12819.900000000001</v>
      </c>
      <c r="K41" s="49">
        <f>SUM(K8:K39)</f>
        <v>13895.100000000004</v>
      </c>
      <c r="L41" s="49">
        <f>SUM(L8:L39)</f>
        <v>11119.170000000002</v>
      </c>
      <c r="M41" s="36">
        <v>11550.559367234286</v>
      </c>
      <c r="N41" s="36">
        <v>12589.140000000001</v>
      </c>
      <c r="O41" s="36">
        <v>10621.72</v>
      </c>
      <c r="P41" s="36">
        <f>SUM(P8:P39)</f>
        <v>10745.529999999999</v>
      </c>
      <c r="Q41" s="36">
        <v>9822.1</v>
      </c>
      <c r="R41" s="36">
        <v>9249.77</v>
      </c>
      <c r="S41" s="36"/>
      <c r="T41" s="36"/>
      <c r="U41" s="36"/>
      <c r="V41" s="36"/>
      <c r="W41" s="36"/>
      <c r="X41" s="36"/>
      <c r="Y41" s="36">
        <v>2707.29</v>
      </c>
      <c r="Z41" s="36"/>
      <c r="AA41" s="36"/>
      <c r="AB41" s="36"/>
      <c r="AC41" s="36"/>
      <c r="AD41" s="35"/>
      <c r="AF41" s="34"/>
      <c r="AG41" s="33"/>
      <c r="AJ41" s="23">
        <f>H41</f>
        <v>13665.2</v>
      </c>
      <c r="AK41" s="22">
        <f>(E41/H41)-1</f>
        <v>0.58551503088136281</v>
      </c>
    </row>
    <row r="42" spans="1:40" s="1" customFormat="1" ht="14.25" hidden="1" customHeight="1" thickBot="1" x14ac:dyDescent="0.25">
      <c r="A42" s="41" t="s">
        <v>8</v>
      </c>
      <c r="B42" s="48"/>
      <c r="C42" s="48"/>
      <c r="D42" s="48"/>
      <c r="E42" s="47"/>
      <c r="F42" s="46"/>
      <c r="G42" s="46"/>
      <c r="H42" s="45"/>
      <c r="I42" s="45"/>
      <c r="J42" s="45"/>
      <c r="K42" s="45"/>
      <c r="L42" s="44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5"/>
      <c r="AF42" s="34"/>
      <c r="AG42" s="33"/>
      <c r="AJ42" s="23">
        <f>H42</f>
        <v>0</v>
      </c>
      <c r="AK42" s="22" t="e">
        <f>(E42/H42)-1</f>
        <v>#DIV/0!</v>
      </c>
    </row>
    <row r="43" spans="1:40" s="1" customFormat="1" ht="14.25" hidden="1" customHeight="1" x14ac:dyDescent="0.25">
      <c r="A43" s="41" t="s">
        <v>7</v>
      </c>
      <c r="B43" s="36"/>
      <c r="C43" s="36"/>
      <c r="D43" s="36"/>
      <c r="E43" s="19"/>
      <c r="F43" s="43"/>
      <c r="G43" s="43"/>
      <c r="H43" s="43"/>
      <c r="I43" s="43"/>
      <c r="J43" s="43"/>
      <c r="K43" s="43"/>
      <c r="L43" s="4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5"/>
      <c r="AF43" s="34"/>
      <c r="AG43" s="33"/>
      <c r="AJ43" s="23">
        <f>H43</f>
        <v>0</v>
      </c>
      <c r="AK43" s="22" t="e">
        <f>(E43/H43)-1</f>
        <v>#DIV/0!</v>
      </c>
    </row>
    <row r="44" spans="1:40" s="1" customFormat="1" ht="14.25" hidden="1" customHeight="1" x14ac:dyDescent="0.25">
      <c r="A44" s="41" t="s">
        <v>6</v>
      </c>
      <c r="B44" s="36"/>
      <c r="C44" s="36"/>
      <c r="D44" s="36"/>
      <c r="E44" s="19"/>
      <c r="F44" s="43"/>
      <c r="G44" s="43"/>
      <c r="H44" s="43"/>
      <c r="I44" s="43"/>
      <c r="J44" s="43"/>
      <c r="K44" s="43"/>
      <c r="L44" s="4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5"/>
      <c r="AF44" s="34"/>
      <c r="AG44" s="33"/>
      <c r="AJ44" s="23">
        <f>H44</f>
        <v>0</v>
      </c>
      <c r="AK44" s="22" t="e">
        <f>(E44/H44)-1</f>
        <v>#DIV/0!</v>
      </c>
    </row>
    <row r="45" spans="1:40" s="1" customFormat="1" ht="14.25" hidden="1" customHeight="1" x14ac:dyDescent="0.25">
      <c r="A45" s="41" t="s">
        <v>5</v>
      </c>
      <c r="B45" s="36"/>
      <c r="C45" s="36"/>
      <c r="D45" s="36"/>
      <c r="E45" s="19"/>
      <c r="F45" s="43"/>
      <c r="G45" s="43"/>
      <c r="H45" s="43"/>
      <c r="I45" s="43"/>
      <c r="J45" s="43"/>
      <c r="K45" s="43"/>
      <c r="L45" s="43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5"/>
      <c r="AF45" s="34"/>
      <c r="AG45" s="33"/>
      <c r="AJ45" s="23">
        <f>H45</f>
        <v>0</v>
      </c>
      <c r="AK45" s="22" t="e">
        <f>(E45/H45)-1</f>
        <v>#DIV/0!</v>
      </c>
    </row>
    <row r="46" spans="1:40" s="1" customFormat="1" ht="12" hidden="1" customHeight="1" x14ac:dyDescent="0.25">
      <c r="A46" s="41"/>
      <c r="B46" s="36"/>
      <c r="C46" s="36"/>
      <c r="D46" s="36"/>
      <c r="E46" s="37"/>
      <c r="F46" s="42"/>
      <c r="G46" s="42"/>
      <c r="H46" s="42"/>
      <c r="I46" s="42"/>
      <c r="J46" s="42"/>
      <c r="K46" s="42"/>
      <c r="L46" s="42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5"/>
      <c r="AF46" s="34"/>
      <c r="AG46" s="33"/>
      <c r="AJ46" s="23">
        <f>H46</f>
        <v>0</v>
      </c>
      <c r="AK46" s="22" t="e">
        <f>(E46/H46)-1</f>
        <v>#DIV/0!</v>
      </c>
    </row>
    <row r="47" spans="1:40" s="1" customFormat="1" ht="13.8" thickTop="1" x14ac:dyDescent="0.25">
      <c r="A47" s="41" t="s">
        <v>4</v>
      </c>
      <c r="B47" s="40">
        <f>[1]Invoer!U37</f>
        <v>0</v>
      </c>
      <c r="C47" s="40"/>
      <c r="D47" s="40">
        <f>[1]Invoer!Y37</f>
        <v>-1172.83</v>
      </c>
      <c r="E47" s="39">
        <f>[1]Invoer!AA37</f>
        <v>-1172.83</v>
      </c>
      <c r="F47" s="38">
        <v>-776.33</v>
      </c>
      <c r="G47" s="38">
        <v>-798.15</v>
      </c>
      <c r="H47" s="38">
        <v>-759.05</v>
      </c>
      <c r="I47" s="38">
        <v>-666.2</v>
      </c>
      <c r="J47" s="38">
        <v>-408</v>
      </c>
      <c r="K47" s="38">
        <v>-385</v>
      </c>
      <c r="L47" s="38">
        <v>-426.76</v>
      </c>
      <c r="M47" s="36">
        <v>-368.5</v>
      </c>
      <c r="N47" s="36">
        <v>-335</v>
      </c>
      <c r="O47" s="36">
        <v>-391</v>
      </c>
      <c r="P47" s="36">
        <v>-395.5</v>
      </c>
      <c r="Q47" s="36">
        <v>-633.03</v>
      </c>
      <c r="R47" s="36">
        <v>-723.1</v>
      </c>
      <c r="S47" s="36">
        <v>-700</v>
      </c>
      <c r="T47" s="36">
        <v>-843.04</v>
      </c>
      <c r="U47" s="36">
        <v>-656.59</v>
      </c>
      <c r="V47" s="36"/>
      <c r="W47" s="36"/>
      <c r="X47" s="36">
        <f>185+45.53+33+15.5+5</f>
        <v>284.02999999999997</v>
      </c>
      <c r="Y47" s="36"/>
      <c r="Z47" s="36"/>
      <c r="AA47" s="36"/>
      <c r="AB47" s="36"/>
      <c r="AC47" s="36"/>
      <c r="AD47" s="35"/>
      <c r="AF47" s="34"/>
      <c r="AG47" s="33"/>
      <c r="AJ47" s="23">
        <f>H47</f>
        <v>-759.05</v>
      </c>
      <c r="AK47" s="22">
        <f>(E47/H47)-1</f>
        <v>0.5451287793952968</v>
      </c>
    </row>
    <row r="48" spans="1:40" s="1" customFormat="1" ht="15" customHeight="1" x14ac:dyDescent="0.25">
      <c r="A48" s="41" t="s">
        <v>3</v>
      </c>
      <c r="B48" s="40">
        <v>0</v>
      </c>
      <c r="C48" s="40"/>
      <c r="D48" s="40">
        <f>[1]Invoer!Y39</f>
        <v>0</v>
      </c>
      <c r="E48" s="39">
        <f>[1]Invoer!AA39</f>
        <v>0</v>
      </c>
      <c r="F48" s="38" t="s">
        <v>2</v>
      </c>
      <c r="G48" s="38">
        <v>1.5</v>
      </c>
      <c r="H48" s="38">
        <f>[1]Invoer!AB39</f>
        <v>0</v>
      </c>
      <c r="I48" s="38"/>
      <c r="J48" s="38">
        <v>0</v>
      </c>
      <c r="K48" s="38">
        <v>-22.6</v>
      </c>
      <c r="L48" s="38">
        <v>9</v>
      </c>
      <c r="M48" s="36">
        <v>-42.7</v>
      </c>
      <c r="N48" s="36">
        <v>0</v>
      </c>
      <c r="O48" s="36">
        <v>0</v>
      </c>
      <c r="P48" s="36">
        <v>0</v>
      </c>
      <c r="Q48" s="36">
        <v>0</v>
      </c>
      <c r="R48" s="36">
        <v>258.8</v>
      </c>
      <c r="S48" s="36">
        <v>104</v>
      </c>
      <c r="T48" s="36">
        <v>161</v>
      </c>
      <c r="U48" s="36">
        <v>270.61</v>
      </c>
      <c r="V48" s="37"/>
      <c r="W48" s="37"/>
      <c r="X48" s="37"/>
      <c r="Y48" s="37"/>
      <c r="Z48" s="36"/>
      <c r="AA48" s="36"/>
      <c r="AB48" s="36"/>
      <c r="AC48" s="36"/>
      <c r="AD48" s="35"/>
      <c r="AF48" s="34"/>
      <c r="AG48" s="33"/>
      <c r="AJ48" s="23">
        <f>H48</f>
        <v>0</v>
      </c>
      <c r="AK48" s="22" t="e">
        <f>(E48/H48)-1</f>
        <v>#DIV/0!</v>
      </c>
    </row>
    <row r="49" spans="1:40" s="21" customFormat="1" ht="13.8" thickBot="1" x14ac:dyDescent="0.3">
      <c r="A49" s="32" t="s">
        <v>1</v>
      </c>
      <c r="B49" s="31">
        <f>B40+B47+B48</f>
        <v>24495.98</v>
      </c>
      <c r="C49" s="31">
        <f>C40+C47+C48</f>
        <v>-2695.2</v>
      </c>
      <c r="D49" s="31">
        <f>D40+D47+D48</f>
        <v>-1172.83</v>
      </c>
      <c r="E49" s="30">
        <f>E40+E47+E48</f>
        <v>20627.950000000004</v>
      </c>
      <c r="F49" s="30">
        <f>SUM(F40:F48)</f>
        <v>17397.729999999996</v>
      </c>
      <c r="G49" s="31">
        <f>G40+G47+G48</f>
        <v>15808.699999999999</v>
      </c>
      <c r="H49" s="31">
        <f>H40+H47+H48</f>
        <v>12979.150000000001</v>
      </c>
      <c r="I49" s="31">
        <f>I40+I47+I48</f>
        <v>11142.490000000002</v>
      </c>
      <c r="J49" s="31">
        <f>J40+J47+J48</f>
        <v>12500.550000000001</v>
      </c>
      <c r="K49" s="31">
        <f>K40+K47+K48</f>
        <v>13549.050000000005</v>
      </c>
      <c r="L49" s="31">
        <f>L40+L47+L48</f>
        <v>10760.460000000001</v>
      </c>
      <c r="M49" s="31">
        <v>12032.830000000004</v>
      </c>
      <c r="N49" s="31">
        <v>13030.139999999998</v>
      </c>
      <c r="O49" s="31">
        <v>11194.839999999998</v>
      </c>
      <c r="P49" s="31">
        <v>10453.48</v>
      </c>
      <c r="Q49" s="31">
        <v>10001.119999999999</v>
      </c>
      <c r="R49" s="31">
        <v>9491.2899999999972</v>
      </c>
      <c r="S49" s="31">
        <v>9709.35</v>
      </c>
      <c r="T49" s="31">
        <v>7536.76</v>
      </c>
      <c r="U49" s="31">
        <v>8494.5400000000009</v>
      </c>
      <c r="V49" s="30"/>
      <c r="W49" s="30"/>
      <c r="X49" s="30"/>
      <c r="Y49" s="30"/>
      <c r="Z49" s="30" t="e">
        <f>#REF!-#REF!</f>
        <v>#REF!</v>
      </c>
      <c r="AA49" s="30">
        <f>Z40-Z47</f>
        <v>0</v>
      </c>
      <c r="AB49" s="30">
        <f>AA40-AA47</f>
        <v>0</v>
      </c>
      <c r="AC49" s="30">
        <f>AB40-AB47</f>
        <v>11643.739999999998</v>
      </c>
      <c r="AD49" s="29"/>
      <c r="AE49" s="28"/>
      <c r="AF49" s="27"/>
      <c r="AG49" s="26">
        <v>-957.78</v>
      </c>
      <c r="AH49" s="25"/>
      <c r="AI49" s="24"/>
      <c r="AJ49" s="23">
        <f>H49</f>
        <v>12979.150000000001</v>
      </c>
      <c r="AK49" s="22">
        <f>(E49/H49)-1</f>
        <v>0.58931440040372451</v>
      </c>
      <c r="AL49" s="8"/>
      <c r="AM49" s="8"/>
      <c r="AN49" s="8"/>
    </row>
    <row r="50" spans="1:40" s="1" customFormat="1" ht="13.8" thickTop="1" x14ac:dyDescent="0.25">
      <c r="A50" s="16"/>
      <c r="B50" s="16"/>
      <c r="C50" s="16"/>
      <c r="D50" s="16"/>
      <c r="E50" s="20"/>
      <c r="F50" s="20"/>
      <c r="G50" s="20"/>
      <c r="H50" s="20"/>
      <c r="I50" s="16"/>
      <c r="J50" s="20"/>
      <c r="K50" s="20"/>
      <c r="L50" s="16"/>
      <c r="M50" s="4"/>
      <c r="N50" s="4"/>
      <c r="O50" s="4"/>
      <c r="P50" s="4"/>
      <c r="Q50" s="4"/>
      <c r="R50" s="4"/>
      <c r="S50" s="4"/>
      <c r="T50" s="4"/>
      <c r="U50" s="4"/>
      <c r="V50" s="16"/>
      <c r="Z50" s="19"/>
      <c r="AH50" s="19"/>
      <c r="AI50" s="19"/>
      <c r="AJ50" s="18"/>
      <c r="AK50" s="17"/>
    </row>
    <row r="51" spans="1:40" s="1" customFormat="1" ht="12" customHeight="1" x14ac:dyDescent="0.25">
      <c r="E51" s="4"/>
      <c r="F51" s="4"/>
      <c r="G51" s="4"/>
      <c r="H51" s="4"/>
      <c r="J51" s="4"/>
      <c r="K51" s="4"/>
      <c r="W51" s="16"/>
      <c r="AJ51" s="6"/>
      <c r="AK51" s="5"/>
    </row>
    <row r="52" spans="1:40" s="1" customFormat="1" x14ac:dyDescent="0.25">
      <c r="E52" s="4"/>
      <c r="F52" s="4"/>
      <c r="G52" s="4"/>
      <c r="H52" s="4"/>
      <c r="J52" s="4"/>
      <c r="K52" s="4"/>
      <c r="AJ52" s="6"/>
      <c r="AK52" s="5"/>
    </row>
    <row r="53" spans="1:40" s="1" customFormat="1" x14ac:dyDescent="0.25">
      <c r="E53" s="4"/>
      <c r="F53" s="4"/>
      <c r="G53" s="4"/>
      <c r="H53" s="4"/>
      <c r="J53" s="4"/>
      <c r="K53" s="4"/>
      <c r="AJ53" s="6"/>
      <c r="AK53" s="5"/>
    </row>
    <row r="54" spans="1:40" s="1" customFormat="1" x14ac:dyDescent="0.25">
      <c r="E54" s="4"/>
      <c r="F54" s="4"/>
      <c r="G54" s="4"/>
      <c r="H54" s="4"/>
      <c r="J54" s="4"/>
      <c r="K54" s="4"/>
      <c r="AJ54" s="6"/>
      <c r="AK54" s="5"/>
    </row>
    <row r="55" spans="1:40" s="1" customFormat="1" x14ac:dyDescent="0.25">
      <c r="E55" s="4"/>
      <c r="F55" s="4"/>
      <c r="G55" s="4"/>
      <c r="H55" s="4"/>
      <c r="J55" s="4"/>
      <c r="K55" s="4"/>
      <c r="AJ55" s="6"/>
      <c r="AK55" s="5"/>
    </row>
    <row r="56" spans="1:40" s="1" customFormat="1" x14ac:dyDescent="0.25">
      <c r="E56" s="4"/>
      <c r="F56" s="4"/>
      <c r="G56" s="4"/>
      <c r="H56" s="4"/>
      <c r="J56" s="4"/>
      <c r="K56" s="4"/>
      <c r="AJ56" s="6"/>
      <c r="AK56" s="5"/>
    </row>
    <row r="57" spans="1:40" s="1" customFormat="1" x14ac:dyDescent="0.25">
      <c r="E57" s="4"/>
      <c r="F57" s="4"/>
      <c r="G57" s="4"/>
      <c r="H57" s="4"/>
      <c r="J57" s="4"/>
      <c r="K57" s="4"/>
      <c r="AH57" s="6"/>
      <c r="AI57" s="5"/>
    </row>
    <row r="58" spans="1:40" s="1" customFormat="1" x14ac:dyDescent="0.25">
      <c r="B58" s="15">
        <v>2007</v>
      </c>
      <c r="C58" s="14">
        <v>2008</v>
      </c>
      <c r="D58" s="14">
        <v>2009</v>
      </c>
      <c r="E58" s="14">
        <v>2010</v>
      </c>
      <c r="F58" s="14"/>
      <c r="G58" s="14"/>
      <c r="H58" s="14">
        <v>2011</v>
      </c>
      <c r="I58" s="14">
        <v>2012</v>
      </c>
      <c r="J58" s="14">
        <v>2013</v>
      </c>
      <c r="K58" s="14">
        <v>2014</v>
      </c>
      <c r="L58" s="14">
        <v>2015</v>
      </c>
      <c r="M58" s="14">
        <v>2016</v>
      </c>
      <c r="N58" s="14">
        <v>2017</v>
      </c>
      <c r="O58" s="14">
        <v>2018</v>
      </c>
      <c r="P58" s="14">
        <v>2019</v>
      </c>
      <c r="Q58" s="14">
        <v>2022</v>
      </c>
      <c r="R58" s="14">
        <v>2023</v>
      </c>
      <c r="S58" s="14">
        <v>2024</v>
      </c>
      <c r="T58" s="14">
        <v>2025</v>
      </c>
      <c r="U58" s="14">
        <v>2026</v>
      </c>
      <c r="V58" s="14">
        <v>2027</v>
      </c>
      <c r="W58" s="14">
        <v>2028</v>
      </c>
      <c r="X58" s="14">
        <v>2029</v>
      </c>
      <c r="Y58" s="14">
        <v>2030</v>
      </c>
      <c r="Z58" s="13">
        <v>2017</v>
      </c>
      <c r="AA58" s="14">
        <v>2018</v>
      </c>
      <c r="AB58" s="13">
        <v>2019</v>
      </c>
      <c r="AC58" s="13">
        <v>2022</v>
      </c>
      <c r="AD58" s="13">
        <v>2023</v>
      </c>
      <c r="AG58" s="3"/>
      <c r="AH58" s="2"/>
    </row>
    <row r="59" spans="1:40" s="1" customFormat="1" ht="13.8" thickBot="1" x14ac:dyDescent="0.3">
      <c r="A59" s="12" t="s">
        <v>0</v>
      </c>
      <c r="B59" s="11">
        <v>8494.5400000000009</v>
      </c>
      <c r="C59" s="10">
        <v>7536.76</v>
      </c>
      <c r="D59" s="10">
        <v>9709.35</v>
      </c>
      <c r="E59" s="10">
        <v>9491.2899999999972</v>
      </c>
      <c r="F59" s="10"/>
      <c r="G59" s="10"/>
      <c r="H59" s="10">
        <v>10001.119999999999</v>
      </c>
      <c r="I59" s="10">
        <v>10453.48</v>
      </c>
      <c r="J59" s="10">
        <v>11194.839999999998</v>
      </c>
      <c r="K59" s="10">
        <v>13030.139999999998</v>
      </c>
      <c r="L59" s="10">
        <v>12032.830000000004</v>
      </c>
      <c r="M59" s="10">
        <v>10760.46</v>
      </c>
      <c r="N59" s="1">
        <v>13549.05</v>
      </c>
      <c r="O59" s="1">
        <v>12500.55</v>
      </c>
      <c r="P59" s="1">
        <v>10396.44</v>
      </c>
      <c r="Q59" s="1">
        <f>H49</f>
        <v>12979.150000000001</v>
      </c>
      <c r="R59" s="1">
        <f>G49</f>
        <v>15808.699999999999</v>
      </c>
      <c r="S59" s="1">
        <f>F49</f>
        <v>17397.729999999996</v>
      </c>
      <c r="Z59" s="9">
        <v>13549.05</v>
      </c>
      <c r="AA59" s="8">
        <v>12500.55</v>
      </c>
      <c r="AB59" s="7">
        <f>I49</f>
        <v>11142.490000000002</v>
      </c>
      <c r="AC59" s="1">
        <f>H49</f>
        <v>12979.150000000001</v>
      </c>
      <c r="AD59" s="1">
        <f>E49</f>
        <v>20627.950000000004</v>
      </c>
      <c r="AG59" s="3"/>
      <c r="AH59" s="2"/>
    </row>
    <row r="60" spans="1:40" s="1" customFormat="1" ht="12.6" thickTop="1" x14ac:dyDescent="0.25">
      <c r="E60" s="4"/>
      <c r="F60" s="4"/>
      <c r="G60" s="4"/>
      <c r="H60" s="4"/>
      <c r="J60" s="4"/>
      <c r="K60" s="4"/>
      <c r="AJ60" s="6"/>
      <c r="AK60" s="5"/>
    </row>
    <row r="61" spans="1:40" s="1" customFormat="1" x14ac:dyDescent="0.25">
      <c r="E61" s="4"/>
      <c r="F61" s="4"/>
      <c r="G61" s="4"/>
      <c r="H61" s="4"/>
      <c r="J61" s="4"/>
      <c r="K61" s="4"/>
      <c r="AJ61" s="6"/>
      <c r="AK61" s="5"/>
    </row>
    <row r="62" spans="1:40" s="1" customFormat="1" x14ac:dyDescent="0.25">
      <c r="E62" s="4"/>
      <c r="F62" s="4"/>
      <c r="G62" s="4"/>
      <c r="H62" s="4"/>
      <c r="J62" s="4"/>
      <c r="K62" s="4"/>
      <c r="AJ62" s="6"/>
      <c r="AK62" s="5"/>
    </row>
    <row r="63" spans="1:40" s="1" customFormat="1" x14ac:dyDescent="0.25">
      <c r="E63" s="4"/>
      <c r="F63" s="4"/>
      <c r="G63" s="4"/>
      <c r="H63" s="4"/>
      <c r="J63" s="4"/>
      <c r="K63" s="4"/>
      <c r="AJ63" s="6"/>
      <c r="AK63" s="5"/>
    </row>
    <row r="64" spans="1:40" s="1" customFormat="1" x14ac:dyDescent="0.25">
      <c r="E64" s="4"/>
      <c r="F64" s="4"/>
      <c r="G64" s="4"/>
      <c r="H64" s="4"/>
      <c r="J64" s="4"/>
      <c r="K64" s="4"/>
      <c r="AJ64" s="6"/>
      <c r="AK64" s="5"/>
    </row>
    <row r="65" spans="5:37" s="1" customFormat="1" x14ac:dyDescent="0.25">
      <c r="E65" s="4"/>
      <c r="F65" s="4"/>
      <c r="G65" s="4"/>
      <c r="H65" s="4"/>
      <c r="J65" s="4"/>
      <c r="K65" s="4"/>
      <c r="AJ65" s="6"/>
      <c r="AK65" s="5"/>
    </row>
    <row r="66" spans="5:37" s="1" customFormat="1" x14ac:dyDescent="0.25">
      <c r="E66" s="4"/>
      <c r="F66" s="4"/>
      <c r="G66" s="4"/>
      <c r="H66" s="4"/>
      <c r="J66" s="4"/>
      <c r="K66" s="4"/>
      <c r="AJ66" s="6"/>
      <c r="AK66" s="5"/>
    </row>
    <row r="67" spans="5:37" s="1" customFormat="1" x14ac:dyDescent="0.25">
      <c r="E67" s="4"/>
      <c r="F67" s="4"/>
      <c r="G67" s="4"/>
      <c r="H67" s="4"/>
      <c r="J67" s="4"/>
      <c r="K67" s="4"/>
      <c r="AJ67" s="6"/>
      <c r="AK67" s="5"/>
    </row>
    <row r="68" spans="5:37" s="1" customFormat="1" x14ac:dyDescent="0.25">
      <c r="E68" s="4"/>
      <c r="F68" s="4"/>
      <c r="G68" s="4"/>
      <c r="H68" s="4"/>
      <c r="J68" s="4"/>
      <c r="K68" s="4"/>
      <c r="AJ68" s="6"/>
      <c r="AK68" s="5"/>
    </row>
    <row r="69" spans="5:37" s="1" customFormat="1" x14ac:dyDescent="0.25">
      <c r="E69" s="4"/>
      <c r="F69" s="4"/>
      <c r="G69" s="4"/>
      <c r="H69" s="4"/>
      <c r="J69" s="4"/>
      <c r="K69" s="4"/>
      <c r="AJ69" s="6"/>
      <c r="AK69" s="5"/>
    </row>
    <row r="70" spans="5:37" s="1" customFormat="1" x14ac:dyDescent="0.25">
      <c r="E70" s="4"/>
      <c r="F70" s="4"/>
      <c r="G70" s="4"/>
      <c r="H70" s="4"/>
      <c r="J70" s="4"/>
      <c r="K70" s="4"/>
      <c r="AJ70" s="6"/>
      <c r="AK70" s="5"/>
    </row>
    <row r="71" spans="5:37" s="1" customFormat="1" x14ac:dyDescent="0.25">
      <c r="E71" s="4"/>
      <c r="F71" s="4"/>
      <c r="G71" s="4"/>
      <c r="H71" s="4"/>
      <c r="J71" s="4"/>
      <c r="K71" s="4"/>
      <c r="AJ71" s="6"/>
      <c r="AK71" s="5"/>
    </row>
    <row r="72" spans="5:37" s="1" customFormat="1" x14ac:dyDescent="0.25">
      <c r="E72" s="4"/>
      <c r="F72" s="4"/>
      <c r="G72" s="4"/>
      <c r="H72" s="4"/>
      <c r="J72" s="4"/>
      <c r="K72" s="4"/>
      <c r="AJ72" s="6"/>
      <c r="AK72" s="5"/>
    </row>
    <row r="73" spans="5:37" s="1" customFormat="1" x14ac:dyDescent="0.25">
      <c r="E73" s="4"/>
      <c r="F73" s="4"/>
      <c r="G73" s="4"/>
      <c r="H73" s="4"/>
      <c r="J73" s="4"/>
      <c r="K73" s="4"/>
      <c r="AJ73" s="6"/>
      <c r="AK73" s="5"/>
    </row>
    <row r="74" spans="5:37" s="1" customFormat="1" x14ac:dyDescent="0.25">
      <c r="E74" s="4"/>
      <c r="F74" s="4"/>
      <c r="G74" s="4"/>
      <c r="H74" s="4"/>
      <c r="J74" s="4"/>
      <c r="K74" s="4"/>
      <c r="AJ74" s="6"/>
      <c r="AK74" s="5"/>
    </row>
    <row r="75" spans="5:37" s="1" customFormat="1" x14ac:dyDescent="0.25">
      <c r="E75" s="4"/>
      <c r="F75" s="4"/>
      <c r="G75" s="4"/>
      <c r="H75" s="4"/>
      <c r="J75" s="4"/>
      <c r="K75" s="4"/>
      <c r="AJ75" s="6"/>
      <c r="AK75" s="5"/>
    </row>
  </sheetData>
  <mergeCells count="17">
    <mergeCell ref="I41:I42"/>
    <mergeCell ref="H41:H42"/>
    <mergeCell ref="AJ2:AK2"/>
    <mergeCell ref="AJ3:AK3"/>
    <mergeCell ref="AJ4:AK4"/>
    <mergeCell ref="AG19:AG20"/>
    <mergeCell ref="AG28:AG29"/>
    <mergeCell ref="AF28:AF29"/>
    <mergeCell ref="AF4:AG4"/>
    <mergeCell ref="AF19:AF20"/>
    <mergeCell ref="B40:B41"/>
    <mergeCell ref="C40:C41"/>
    <mergeCell ref="E41:E42"/>
    <mergeCell ref="D40:D41"/>
    <mergeCell ref="L41:L42"/>
    <mergeCell ref="K41:K42"/>
    <mergeCell ref="J41:J42"/>
  </mergeCells>
  <conditionalFormatting sqref="AJ7:AK49">
    <cfRule type="cellIs" dxfId="0" priority="1" operator="lessThan">
      <formula>0</formula>
    </cfRule>
  </conditionalFormatting>
  <conditionalFormatting sqref="AK7:AK49">
    <cfRule type="iconSet" priority="2">
      <iconSet iconSet="3Arrows">
        <cfvo type="percent" val="0"/>
        <cfvo type="num" val="-0.1"/>
        <cfvo type="num" val="0.1"/>
      </iconSet>
    </cfRule>
  </conditionalFormatting>
  <pageMargins left="3.937007874015748E-2" right="3.937007874015748E-2" top="0.74803149606299213" bottom="0" header="0.31496062992125984" footer="0.31496062992125984"/>
  <pageSetup paperSize="9" scale="73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kramen</vt:lpstr>
      <vt:lpstr>kramen!Afdrukbereik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de Jong</dc:creator>
  <cp:lastModifiedBy>Pieter de Jong</cp:lastModifiedBy>
  <dcterms:created xsi:type="dcterms:W3CDTF">2025-06-07T16:31:58Z</dcterms:created>
  <dcterms:modified xsi:type="dcterms:W3CDTF">2025-06-07T16:32:44Z</dcterms:modified>
</cp:coreProperties>
</file>